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Algemeen\OR\AOB\"/>
    </mc:Choice>
  </mc:AlternateContent>
  <xr:revisionPtr revIDLastSave="0" documentId="13_ncr:1_{0050488C-B777-49A1-A36B-4195DBBB9A84}" xr6:coauthVersionLast="47" xr6:coauthVersionMax="47" xr10:uidLastSave="{00000000-0000-0000-0000-000000000000}"/>
  <bookViews>
    <workbookView xWindow="-108" yWindow="-108" windowWidth="23256" windowHeight="12456" xr2:uid="{5FD4A0D5-608D-4271-9E0E-CE81D93B06D2}"/>
  </bookViews>
  <sheets>
    <sheet name="Mijn Inzet" sheetId="1" r:id="rId1"/>
    <sheet name="LessenPerPeriode" sheetId="8" r:id="rId2"/>
    <sheet name="Achtergrondinformatie" sheetId="4" r:id="rId3"/>
    <sheet name="Disclaimer" sheetId="7" r:id="rId4"/>
    <sheet name="CAO artikelen" sheetId="9" r:id="rId5"/>
    <sheet name="Gegevens" sheetId="2" r:id="rId6"/>
  </sheets>
  <definedNames>
    <definedName name="_xlnm.Print_Area" localSheetId="0">'Mijn Inzet'!$B$1:$I$70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1" l="1"/>
  <c r="C55" i="1" s="1"/>
  <c r="C53" i="1"/>
  <c r="F56" i="1" l="1"/>
  <c r="C56" i="1"/>
  <c r="F33" i="1"/>
  <c r="C33" i="1"/>
  <c r="D9" i="1"/>
  <c r="C11" i="1" s="1"/>
  <c r="D14" i="1"/>
  <c r="C57" i="1" l="1"/>
  <c r="C34" i="1"/>
  <c r="F16" i="1"/>
  <c r="E16" i="1" s="1"/>
  <c r="B33" i="1" l="1"/>
  <c r="B56" i="1"/>
  <c r="H2" i="1" l="1"/>
  <c r="F17" i="1"/>
  <c r="E17" i="1" s="1"/>
  <c r="F19" i="1"/>
  <c r="E19" i="1" s="1"/>
  <c r="F18" i="1"/>
  <c r="E18" i="1" s="1"/>
  <c r="F6" i="1"/>
  <c r="E6" i="1" s="1"/>
  <c r="F5" i="1"/>
  <c r="F36" i="1"/>
  <c r="E30" i="1"/>
  <c r="F55" i="1"/>
  <c r="E5" i="1" l="1"/>
  <c r="F8" i="1"/>
  <c r="F30" i="1"/>
  <c r="E8" i="1" l="1"/>
  <c r="D8" i="1"/>
  <c r="B55" i="1" l="1"/>
  <c r="C7" i="1"/>
  <c r="F7" i="1" s="1"/>
  <c r="E7" i="1" s="1"/>
  <c r="F37" i="1"/>
  <c r="F38" i="1"/>
  <c r="F39" i="1"/>
  <c r="F40" i="1"/>
  <c r="F41" i="1"/>
  <c r="F42" i="1"/>
  <c r="F43" i="1"/>
  <c r="F44" i="1"/>
  <c r="F45" i="1"/>
  <c r="F60" i="1"/>
  <c r="F61" i="1"/>
  <c r="F62" i="1"/>
  <c r="F63" i="1"/>
  <c r="F64" i="1"/>
  <c r="F65" i="1"/>
  <c r="F66" i="1"/>
  <c r="F67" i="1"/>
  <c r="F68" i="1"/>
  <c r="F59" i="1"/>
  <c r="B3" i="2"/>
  <c r="B2" i="2"/>
  <c r="F20" i="1" l="1"/>
  <c r="A1" i="4"/>
  <c r="F6" i="8"/>
  <c r="F7" i="8"/>
  <c r="F8" i="8"/>
  <c r="F9" i="8"/>
  <c r="F10" i="8"/>
  <c r="F11" i="8"/>
  <c r="F12" i="8"/>
  <c r="F13" i="8"/>
  <c r="F14" i="8"/>
  <c r="F5" i="8"/>
  <c r="C16" i="8"/>
  <c r="F51" i="1" l="1"/>
  <c r="F28" i="1"/>
  <c r="F16" i="8"/>
  <c r="F18" i="8" s="1"/>
  <c r="D31" i="1" l="1"/>
  <c r="E31" i="1" s="1"/>
  <c r="F31" i="1" s="1"/>
  <c r="E32" i="1" l="1"/>
  <c r="D32" i="1" s="1"/>
  <c r="F32" i="1" l="1"/>
  <c r="E20" i="1" l="1"/>
  <c r="D20" i="1"/>
  <c r="F53" i="1" l="1"/>
  <c r="E53" i="1" s="1"/>
  <c r="F54" i="1"/>
  <c r="E34" i="1"/>
  <c r="F34" i="1" s="1"/>
  <c r="E33" i="1"/>
  <c r="E56" i="1"/>
  <c r="E57" i="1"/>
  <c r="F57" i="1" s="1"/>
  <c r="F13" i="1"/>
  <c r="F58" i="1" s="1"/>
  <c r="F35" i="1" l="1"/>
  <c r="E54" i="1"/>
  <c r="E51" i="1"/>
  <c r="E28" i="1"/>
  <c r="D28" i="1" s="1"/>
  <c r="F69" i="1"/>
  <c r="E69" i="1" s="1"/>
  <c r="C35" i="1" l="1"/>
  <c r="C58" i="1" s="1"/>
  <c r="F46" i="1"/>
  <c r="E46" i="1" s="1"/>
  <c r="D46" i="1" s="1"/>
  <c r="F70" i="1"/>
  <c r="E70" i="1" s="1"/>
  <c r="C70" i="1" s="1"/>
  <c r="E21" i="1" l="1"/>
  <c r="E22" i="1" s="1"/>
  <c r="F47" i="1"/>
  <c r="E47" i="1" s="1"/>
  <c r="D47" i="1" s="1"/>
  <c r="F21" i="1"/>
  <c r="F22" i="1" l="1"/>
  <c r="D21" i="1"/>
  <c r="D22" i="1" s="1"/>
  <c r="C47" i="1"/>
</calcChain>
</file>

<file path=xl/sharedStrings.xml><?xml version="1.0" encoding="utf-8"?>
<sst xmlns="http://schemas.openxmlformats.org/spreadsheetml/2006/main" count="194" uniqueCount="152">
  <si>
    <t>Taken</t>
  </si>
  <si>
    <t>Persoonlijk budget</t>
  </si>
  <si>
    <t>VZNZ</t>
  </si>
  <si>
    <t>Teamscholing</t>
  </si>
  <si>
    <t>in ku/jr</t>
  </si>
  <si>
    <t>in lu/wk</t>
  </si>
  <si>
    <t>in ku/wk</t>
  </si>
  <si>
    <t>Werktijdfactor van Normjaartaak</t>
  </si>
  <si>
    <t>Inzetbaar voor 1200C is:</t>
  </si>
  <si>
    <t>Inzetbaar voor 459C is:</t>
  </si>
  <si>
    <t xml:space="preserve">Totaal ingezette tijd voor taken is: </t>
  </si>
  <si>
    <t>Nee</t>
  </si>
  <si>
    <t>Totaal ingezet:</t>
  </si>
  <si>
    <t>Totaal nog inzetbaar:</t>
  </si>
  <si>
    <t xml:space="preserve">Netto inzetbaarheid is: </t>
  </si>
  <si>
    <t>weken</t>
  </si>
  <si>
    <t>Disclaimer:</t>
  </si>
  <si>
    <t>Deze inzetmeter mag door iedereen vrij worden gebruikt.</t>
  </si>
  <si>
    <t>In geen geval mag er een kopie van worden gemaakt! Ook niet om daarmee een fout te verhelpen of een zelfstandige aanpassing te maken!!</t>
  </si>
  <si>
    <t>Met vriendelijke groet,</t>
  </si>
  <si>
    <t>De complete tekst van de CAO waarop deze berekeningen zijn gebaseerd vindt u hier:</t>
  </si>
  <si>
    <t>Uit LessenPerPeriode:</t>
  </si>
  <si>
    <t>Aantal lessen (op jaarbasis)</t>
  </si>
  <si>
    <t>Berekening van het aantal lesuren per jaar</t>
  </si>
  <si>
    <t>uitgaande van wisselende uren per periode</t>
  </si>
  <si>
    <t>Bestaat uit</t>
  </si>
  <si>
    <t>aantal lesuren per week</t>
  </si>
  <si>
    <t>aantal lesuren per periode</t>
  </si>
  <si>
    <t>Totaal</t>
  </si>
  <si>
    <t>lesuren per jaar</t>
  </si>
  <si>
    <t xml:space="preserve">Dus dat betekent gemiddeld : </t>
  </si>
  <si>
    <t xml:space="preserve">lesuren per week </t>
  </si>
  <si>
    <t>Dit wordt doorgestuurd naar "Mijn Inzet"</t>
  </si>
  <si>
    <t>Wanneer kan deze tool worden gebruikt?</t>
  </si>
  <si>
    <t>Voorafgaande aan het volgend cursusjaar om hiermee gezamenlijk het Plan van Inzet voor het hele team vast te stellen.</t>
  </si>
  <si>
    <t>En dus ook direct wordt gecontroleerd of ieders individuele plan conform de CAO is.</t>
  </si>
  <si>
    <t>Tijdens een een lopend jaar om na te kijken of het (bijgestelde?) rooster nog wel klopt.</t>
  </si>
  <si>
    <t>Wanneer kan deze tool NIET worden gebruikt?</t>
  </si>
  <si>
    <t>Als vervanging van de centrale planning en roostering, zoals dat bijvoorbeeld in Xedule dient te gebeuren.</t>
  </si>
  <si>
    <t>Zowel de lessen als de taken horen in Xedule (of vervanger) te worden ingevoerd om een valide totaalbeeld te krijgen op teamniveau!</t>
  </si>
  <si>
    <t>Waarbij tijdens een vergadering elke docent op een laptop de  eigen Inzetmeter invult en de teamleider tegelijkertijd deze informatie op een digibord laat zien.</t>
  </si>
  <si>
    <t>En zo dus ook gedurende het jaar kan worden nagegaan of de CAO-afspraken nog steeds goed worden gevolgd.</t>
  </si>
  <si>
    <t>Periode</t>
  </si>
  <si>
    <t>Omschrijving</t>
  </si>
  <si>
    <t>Lesperiode1</t>
  </si>
  <si>
    <t>Toetsweek 1</t>
  </si>
  <si>
    <t>Lesperiode 2</t>
  </si>
  <si>
    <t>Toetsweek 2</t>
  </si>
  <si>
    <t>Lesperiode 3</t>
  </si>
  <si>
    <t>Toetsweek 3</t>
  </si>
  <si>
    <t>Lesperiode 4</t>
  </si>
  <si>
    <t>Toetsweek 4</t>
  </si>
  <si>
    <t>2.3c lid 3 of  4</t>
  </si>
  <si>
    <t>Afsluitweek</t>
  </si>
  <si>
    <t>Opstartweek</t>
  </si>
  <si>
    <t>2025-2026</t>
  </si>
  <si>
    <t>Het is bedoeld om op individuele basis de inzet na te kunnen rekenen van MBO/vmbo-docenten en instructeurs op basis van de CAO MBO 2025-2026</t>
  </si>
  <si>
    <t>Aanpassingen worden uitsluitend door AOB zelf gemaakt, zodat een ieder beschikt over het meest actuele exemplaar van dit spreadsheet.</t>
  </si>
  <si>
    <t>AOB secretariaat</t>
  </si>
  <si>
    <t>CAO MBO 2025-2026</t>
  </si>
  <si>
    <t>Onderwijstijd</t>
  </si>
  <si>
    <t>Nee, werkzaam in het MBO</t>
  </si>
  <si>
    <t>Ja</t>
  </si>
  <si>
    <t>Ja, er zijn teamscholingsdagen of studiedagen gepland</t>
  </si>
  <si>
    <t>Nee, er zijn geen teamscholingsdagen of studiedagen gepland</t>
  </si>
  <si>
    <t>Ja, 170 klokuur</t>
  </si>
  <si>
    <t>Ja, 340 klokuur</t>
  </si>
  <si>
    <t>Nee, ik maak geen gebruik van de seniorenregeling</t>
  </si>
  <si>
    <t>Werkzaam in het MBO</t>
  </si>
  <si>
    <t>Artikel CAO</t>
  </si>
  <si>
    <t>Werktijdfactor</t>
  </si>
  <si>
    <t>Ja, ik ben startend docent</t>
  </si>
  <si>
    <t>Nee, ik ben geen startend docent</t>
  </si>
  <si>
    <t>in klokuren per jaar</t>
  </si>
  <si>
    <t>in klokuren per week</t>
  </si>
  <si>
    <r>
      <t xml:space="preserve">Seniorenregeling, </t>
    </r>
    <r>
      <rPr>
        <b/>
        <sz val="12"/>
        <color theme="1"/>
        <rFont val="Calibri"/>
        <family val="2"/>
        <scheme val="minor"/>
      </rPr>
      <t>B</t>
    </r>
    <r>
      <rPr>
        <sz val="12"/>
        <color theme="1"/>
        <rFont val="Calibri"/>
        <family val="2"/>
        <scheme val="minor"/>
      </rPr>
      <t xml:space="preserve">APO, </t>
    </r>
    <r>
      <rPr>
        <b/>
        <sz val="12"/>
        <color theme="1"/>
        <rFont val="Calibri"/>
        <family val="2"/>
        <scheme val="minor"/>
      </rPr>
      <t>s</t>
    </r>
    <r>
      <rPr>
        <sz val="12"/>
        <color theme="1"/>
        <rFont val="Calibri"/>
        <family val="2"/>
        <scheme val="minor"/>
      </rPr>
      <t>eniorenverlof of recht op senioren</t>
    </r>
    <r>
      <rPr>
        <b/>
        <sz val="12"/>
        <color theme="1"/>
        <rFont val="Calibri"/>
        <family val="2"/>
        <scheme val="minor"/>
      </rPr>
      <t>d</t>
    </r>
    <r>
      <rPr>
        <sz val="12"/>
        <color theme="1"/>
        <rFont val="Calibri"/>
        <family val="2"/>
        <scheme val="minor"/>
      </rPr>
      <t>agen</t>
    </r>
  </si>
  <si>
    <t>Startend docent</t>
  </si>
  <si>
    <t>Beiden</t>
  </si>
  <si>
    <t>Aantal lesweken</t>
  </si>
  <si>
    <t>Duur les in minuten</t>
  </si>
  <si>
    <t>Hieronder vindt de verdeling van onderwijstijd en taakuren plaats</t>
  </si>
  <si>
    <t>IKB</t>
  </si>
  <si>
    <t>Onderdeel</t>
  </si>
  <si>
    <t>Keuze mogelijkheden</t>
  </si>
  <si>
    <t>Persoonlijk Budget, max 50 ku/jr</t>
  </si>
  <si>
    <t>Overige taakuren</t>
  </si>
  <si>
    <t>Bijvoorbeeld: Algemene schooltaken, opruimen lokaal ed</t>
  </si>
  <si>
    <t>Kies de juiste uitgangspunten &gt;&gt;</t>
  </si>
  <si>
    <t>Teamscholing of studiedagen</t>
  </si>
  <si>
    <r>
      <rPr>
        <b/>
        <sz val="12"/>
        <color theme="1"/>
        <rFont val="Calibri"/>
        <family val="2"/>
        <scheme val="minor"/>
      </rPr>
      <t>V</t>
    </r>
    <r>
      <rPr>
        <sz val="12"/>
        <color theme="1"/>
        <rFont val="Calibri"/>
        <family val="2"/>
        <scheme val="minor"/>
      </rPr>
      <t>oor</t>
    </r>
    <r>
      <rPr>
        <b/>
        <sz val="12"/>
        <color theme="1"/>
        <rFont val="Calibri"/>
        <family val="2"/>
        <scheme val="minor"/>
      </rPr>
      <t>Z</t>
    </r>
    <r>
      <rPr>
        <sz val="12"/>
        <color theme="1"/>
        <rFont val="Calibri"/>
        <family val="2"/>
        <scheme val="minor"/>
      </rPr>
      <t xml:space="preserve">org en </t>
    </r>
    <r>
      <rPr>
        <b/>
        <sz val="12"/>
        <color theme="1"/>
        <rFont val="Calibri"/>
        <family val="2"/>
        <scheme val="minor"/>
      </rPr>
      <t>N</t>
    </r>
    <r>
      <rPr>
        <sz val="12"/>
        <color theme="1"/>
        <rFont val="Calibri"/>
        <family val="2"/>
        <scheme val="minor"/>
      </rPr>
      <t>a</t>
    </r>
    <r>
      <rPr>
        <b/>
        <sz val="12"/>
        <color theme="1"/>
        <rFont val="Calibri"/>
        <family val="2"/>
        <scheme val="minor"/>
      </rPr>
      <t>Z</t>
    </r>
    <r>
      <rPr>
        <sz val="12"/>
        <color theme="1"/>
        <rFont val="Calibri"/>
        <family val="2"/>
        <scheme val="minor"/>
      </rPr>
      <t xml:space="preserve">org </t>
    </r>
  </si>
  <si>
    <r>
      <t xml:space="preserve">6,25% van </t>
    </r>
    <r>
      <rPr>
        <b/>
        <sz val="12"/>
        <color theme="1"/>
        <rFont val="Calibri"/>
        <family val="2"/>
        <scheme val="minor"/>
      </rPr>
      <t>w</t>
    </r>
    <r>
      <rPr>
        <sz val="12"/>
        <color theme="1"/>
        <rFont val="Calibri"/>
        <family val="2"/>
        <scheme val="minor"/>
      </rPr>
      <t>erk</t>
    </r>
    <r>
      <rPr>
        <b/>
        <sz val="12"/>
        <color theme="1"/>
        <rFont val="Calibri"/>
        <family val="2"/>
        <scheme val="minor"/>
      </rPr>
      <t>t</t>
    </r>
    <r>
      <rPr>
        <sz val="12"/>
        <color theme="1"/>
        <rFont val="Calibri"/>
        <family val="2"/>
        <scheme val="minor"/>
      </rPr>
      <t>ijd</t>
    </r>
    <r>
      <rPr>
        <b/>
        <sz val="12"/>
        <color theme="1"/>
        <rFont val="Calibri"/>
        <family val="2"/>
        <scheme val="minor"/>
      </rPr>
      <t>f</t>
    </r>
    <r>
      <rPr>
        <sz val="12"/>
        <color theme="1"/>
        <rFont val="Calibri"/>
        <family val="2"/>
        <scheme val="minor"/>
      </rPr>
      <t>actor</t>
    </r>
  </si>
  <si>
    <t>Scholing en professionalisering</t>
  </si>
  <si>
    <r>
      <t xml:space="preserve">Vul hiernaast je </t>
    </r>
    <r>
      <rPr>
        <b/>
        <sz val="11"/>
        <color theme="1"/>
        <rFont val="Calibri"/>
        <family val="2"/>
        <scheme val="minor"/>
      </rPr>
      <t>w</t>
    </r>
    <r>
      <rPr>
        <sz val="11"/>
        <color theme="1"/>
        <rFont val="Calibri"/>
        <family val="2"/>
        <scheme val="minor"/>
      </rPr>
      <t>erk</t>
    </r>
    <r>
      <rPr>
        <b/>
        <sz val="11"/>
        <color theme="1"/>
        <rFont val="Calibri"/>
        <family val="2"/>
        <scheme val="minor"/>
      </rPr>
      <t>t</t>
    </r>
    <r>
      <rPr>
        <sz val="11"/>
        <color theme="1"/>
        <rFont val="Calibri"/>
        <family val="2"/>
        <scheme val="minor"/>
      </rPr>
      <t>ijd</t>
    </r>
    <r>
      <rPr>
        <b/>
        <sz val="11"/>
        <color theme="1"/>
        <rFont val="Calibri"/>
        <family val="2"/>
        <scheme val="minor"/>
      </rPr>
      <t>f</t>
    </r>
    <r>
      <rPr>
        <sz val="11"/>
        <color theme="1"/>
        <rFont val="Calibri"/>
        <family val="2"/>
        <scheme val="minor"/>
      </rPr>
      <t>actor in &gt;&gt;</t>
    </r>
  </si>
  <si>
    <t>1200-uren compartiment = contacttijd/onderwijstijd</t>
  </si>
  <si>
    <t>Contacttijd -onderwijstijd</t>
  </si>
  <si>
    <t>Overige contacttijd - onderwijstijd</t>
  </si>
  <si>
    <t>Indien gewenst kun je ook de blauwe velden overschrijven. De formules worden dan overschreven</t>
  </si>
  <si>
    <t>Niet van toepassing</t>
  </si>
  <si>
    <t>Bijvoorbeeld: Coördinatie stage</t>
  </si>
  <si>
    <t>Lengte van een lesuur
Lesweken per cursusjaar</t>
  </si>
  <si>
    <t>45/50/60 min.
maximaal 42</t>
  </si>
  <si>
    <t>AFDRUKKEN</t>
  </si>
  <si>
    <t>Om deze pagina af te drukken klik je links op bestand, kies vervolgens "afdrukken"</t>
  </si>
  <si>
    <t>uw naam</t>
  </si>
  <si>
    <t>De CAO 2025-2026</t>
  </si>
  <si>
    <t>Indien er fouten of tekortkomingen worden aangetroffen, verzoek ik u vriendelijk, doch dringend om dit aan het secretariaat van het AOB te melden.</t>
  </si>
  <si>
    <t>Uitleg (klik een cel aan voor informatie)</t>
  </si>
  <si>
    <t>Bijvoorbeeld: Extra Reistijd voor BPV-bezoeken</t>
  </si>
  <si>
    <t>Bijvoorbeeld: Reistijd naar externe les-locaties</t>
  </si>
  <si>
    <r>
      <t xml:space="preserve">Werkdrukvermindering VO-scholen. </t>
    </r>
    <r>
      <rPr>
        <b/>
        <sz val="12"/>
        <color theme="1"/>
        <rFont val="Calibri"/>
        <family val="2"/>
        <scheme val="minor"/>
      </rPr>
      <t>I</t>
    </r>
    <r>
      <rPr>
        <sz val="12"/>
        <color theme="1"/>
        <rFont val="Calibri"/>
        <family val="2"/>
        <scheme val="minor"/>
      </rPr>
      <t xml:space="preserve">ndividueel </t>
    </r>
    <r>
      <rPr>
        <b/>
        <sz val="12"/>
        <color theme="1"/>
        <rFont val="Calibri"/>
        <family val="2"/>
        <scheme val="minor"/>
      </rPr>
      <t>K</t>
    </r>
    <r>
      <rPr>
        <sz val="12"/>
        <color theme="1"/>
        <rFont val="Calibri"/>
        <family val="2"/>
        <scheme val="minor"/>
      </rPr>
      <t xml:space="preserve">euze </t>
    </r>
    <r>
      <rPr>
        <b/>
        <sz val="12"/>
        <color theme="1"/>
        <rFont val="Calibri"/>
        <family val="2"/>
        <scheme val="minor"/>
      </rPr>
      <t>B</t>
    </r>
    <r>
      <rPr>
        <sz val="12"/>
        <color theme="1"/>
        <rFont val="Calibri"/>
        <family val="2"/>
        <scheme val="minor"/>
      </rPr>
      <t>udget</t>
    </r>
  </si>
  <si>
    <r>
      <rPr>
        <b/>
        <sz val="12"/>
        <color theme="1"/>
        <rFont val="Calibri"/>
        <family val="2"/>
        <scheme val="minor"/>
      </rPr>
      <t>P</t>
    </r>
    <r>
      <rPr>
        <sz val="12"/>
        <color theme="1"/>
        <rFont val="Calibri"/>
        <family val="2"/>
        <scheme val="minor"/>
      </rPr>
      <t xml:space="preserve">ersoonlijk </t>
    </r>
    <r>
      <rPr>
        <b/>
        <sz val="12"/>
        <color theme="1"/>
        <rFont val="Calibri"/>
        <family val="2"/>
        <scheme val="minor"/>
      </rPr>
      <t>b</t>
    </r>
    <r>
      <rPr>
        <sz val="12"/>
        <color theme="1"/>
        <rFont val="Calibri"/>
        <family val="2"/>
        <scheme val="minor"/>
      </rPr>
      <t xml:space="preserve">udget </t>
    </r>
  </si>
  <si>
    <r>
      <rPr>
        <b/>
        <sz val="12"/>
        <color theme="1"/>
        <rFont val="Calibri"/>
        <family val="2"/>
        <scheme val="minor"/>
      </rPr>
      <t>P</t>
    </r>
    <r>
      <rPr>
        <sz val="12"/>
        <color theme="1"/>
        <rFont val="Calibri"/>
        <family val="2"/>
        <scheme val="minor"/>
      </rPr>
      <t xml:space="preserve">ersoonlijk </t>
    </r>
    <r>
      <rPr>
        <b/>
        <sz val="12"/>
        <color theme="1"/>
        <rFont val="Calibri"/>
        <family val="2"/>
        <scheme val="minor"/>
      </rPr>
      <t>b</t>
    </r>
    <r>
      <rPr>
        <sz val="12"/>
        <color theme="1"/>
        <rFont val="Calibri"/>
        <family val="2"/>
        <scheme val="minor"/>
      </rPr>
      <t>udget</t>
    </r>
  </si>
  <si>
    <t>Arbeidsduur en inzetbaarheid* 1. De normjaartaak bedraagt 1659 uur. 2. De werknemer die direct betrokken is bij het primaire proces en die benoemd is in een functie met carrièrepatroon 9 of hoger, heeft bij een normbetrekking een werkweek van 40 uur.</t>
  </si>
  <si>
    <t>Artikel 3.1</t>
  </si>
  <si>
    <t>Artikel 9 - Paragraaf B/C</t>
  </si>
  <si>
    <t>Ten behoeve van de startende docent wordt in de regeling startende werknemers ten minste vastgelegd dat een startende docent gedurende de eerste 24 maanden van de arbeidsovereenkomst per jaar recht heeft op 6,25% van de normjaartaak (exclusief de 59 uur professionalisering) voor tijd ten behoeve van inwerkactiviteiten. 4. De inwerkactiviteiten en de daarvoor benodigde tijd worden ingevuld in overleg tussen werknemer en werkgever. Dit overleg kan, afhankelijk van de behoefte van de startende docent, leiden tot afspraken tussen de werkgever en werknemer over een reductie van het aantal lesuren dan wel een reductie van andere taken. Deze afspraken worden herkenbaar vastgelegd.</t>
  </si>
  <si>
    <t>Artikel 2.3c, lid 3 of 4</t>
  </si>
  <si>
    <t>Artikel 3.5</t>
  </si>
  <si>
    <t>Artikelen CAO 2025-2026</t>
  </si>
  <si>
    <t>Individueel keuzebudget 5. De werknemer krijgt jaarlijks de beschikking over een basisbudget van 40 klokuren. Hiermee kunnen keuzes worden gemaakt die passen binnen de levensfase, de persoonlijke situatie en de werkdruk verminderen of de duurzame inzetbaarheid vergroten. 6. a. Het bepaalde in lid 5 is ook van toepassing op een werknemer met een arbeidsovereenkomst wegens vervanging van een zieke werknemer gedurende de eerste 12 maanden van de arbeidsovereenkomst. De bestedingsmogelijkheden als beschreven in de artikelen betreffende de keuzemogelijkheden worden echter uitgesloten. De besteding van deze uren zal in de vorm van een verhoging van het uurloon met de factor 1,024 worden gerealiseerd. b. Van het bepaalde in lid 5 zijn startende docenten uitgesloten.</t>
  </si>
  <si>
    <t>Artikel 9.1</t>
  </si>
  <si>
    <t>Voor elk onderwijsteam waarin het werk is verdeeld conform artikel 3.4 lid 1 t/m 5 is, ten behoeve van scholing en professionalisering van de direct bij het primair proces betrokken werknemers die benoemd zijn in een functie behorend bij carrièrepatroon 7 of hoger een urenaantal beschikbaar dat gelijk is aan: P x 107. Hierin is P het totale aantal FTE’s van de werknemers genoemd in de vorige zin binnen een onderwijsteam. Deze uren worden op het niveau van het onderwijsteam (al dan niet gedifferentieerd) toegedeeld aan de desbetreffende werknemers. scholingsplan en vindt plaats onder verantwoordelijkheid van en in overleg met de werkgever met in achtneming van artikel 4.2 lid 1 sub a en b. 9. Indien de werkgever de werkzaamheden van het onderwijsteam waarvan de werknemer die direct betrokken is bij het primaire proces die benoemd is in een functie met carrièrepatroon 7 of hoger deel uitmaakt, toedeelt volgens artikel 3.4, zesde lid, heeft de werknemer recht op ten minste 24 uren scholing en professionalisering. Deze 24 uren maken deel uit van het urenaantal ten behoeve van scholing en professionalisering dat beschikbaar is op het niveau van het onderwijsteam. De toedeling van de overige uren die beschikbaar zijn op het niveau van het onderwijsteam ten behoeve van scholing en professionalisering, vindt plaats in opdracht van de werkgever.</t>
  </si>
  <si>
    <t>Artikel 4.1, lid 8 en 9</t>
  </si>
  <si>
    <t>Artikel 9.6, 9.7 en verder</t>
  </si>
  <si>
    <t>Paragraaf C</t>
  </si>
  <si>
    <t xml:space="preserve">Art. 4.1 lid 8,9 </t>
  </si>
  <si>
    <t>De werknemer, die voldoet aan de in artikel 9.5, lid 1 gestelde voorwaarden, heeft bij
een normbetrekking recht op 170 uur verlof per cursusjaar.
In deze paragraaf wordt het seniorenverlof uitgelegd, er zijn verschillende mogelijkheden.</t>
  </si>
  <si>
    <t>Aanspraak 1. De werknemer die onderdeel uitmaakt van een onderwijsteam en die direct betrokken is bij het primaire proces en benoemd in een functie met carrièrepatroon 7 of hoger heeft recht op een persoonlijk budget ten behoeve van duurzame inzetbaarheid. 2. Het persoonlijk budget maakt onderdeel uit van de normjaartaak van 1659 uur. Voor de werknemer, zoals bedoeld in het eerste lid, wordt het persoonlijk budget toegekend naast de 59 uur ten behoeve van scholing en professionalisering conform artikel 4.1 lid 7.</t>
  </si>
  <si>
    <t>Bij het ontbreken van de vereiste meerderheid zoals bedoeld in lid 5 hanteert de leidinggevende de toedelingsoptie. Dit betekent dat - om de goede voortgang van het onderwijs te kunnen garanderen – de leidinggevende de werkzaamheden weegt en verdeelt, met inachtneming van het volgende: a. het algemeen inzetbaarheidskader, zoals bedoeld in artikel 3.3 lid 1. De leidinggevende past daarbij een opslagfactor van ten minste 40% toe, berekend over groepslessen, ten behoeve van de voorbereiding en nazorg voor die groepslessen. Onder groepslessen wordt verstaan: ingeroosterde groepsgebonden contactactiviteiten, gericht op het realiseren van begeleide onderwijstijd.</t>
  </si>
  <si>
    <t>Artikel 3.4 lid 6</t>
  </si>
  <si>
    <t>De werknemer heeft bij een normbetrekking jaarlijks recht op 59 uren ten behoeve van scholing en professionalisering. De werknemer die direct betrokken is bij het primaire proces en benoemd is in een functie met carrièrepatroon 7 of hoger maakt daarnaast aanspraak op uren op grond van het achtste of negende lid. Over de invulling van de uren legt de werknemer verantwoording af aan de werkgever. De werknemer die 32 benoemd is in een functie met carrièrepatroon 7 of 8 vult de uren in overleg met de werkgever. Artikel 4.1a lid 1. De docent die werkzaam is op een school bekostigd op basis van de WVO en werkzaam is voor vo-leerlingen heeft per schooljaar recht op 16 uur professionalisering op het gebied van basisvaardigheden en curriculumherziening.</t>
  </si>
  <si>
    <t>Artikel 4.1 lid 7</t>
  </si>
  <si>
    <t>in FTE</t>
  </si>
  <si>
    <t>12 klokuur per jaar</t>
  </si>
  <si>
    <t>8 klokuur per jaar</t>
  </si>
  <si>
    <t>Ander soorten verlof of detachering</t>
  </si>
  <si>
    <t>De groene cellen kun je invullen. De grijze cellen worden berekend.</t>
  </si>
  <si>
    <t>Professionali-sering/Teamscholing</t>
  </si>
  <si>
    <r>
      <t>B</t>
    </r>
    <r>
      <rPr>
        <sz val="12"/>
        <color rgb="FF202122"/>
        <rFont val="Calibri"/>
        <family val="2"/>
      </rPr>
      <t xml:space="preserve">APO (9.15) of </t>
    </r>
    <r>
      <rPr>
        <b/>
        <sz val="12"/>
        <color rgb="FF202122"/>
        <rFont val="Calibri"/>
        <family val="2"/>
      </rPr>
      <t>s</t>
    </r>
    <r>
      <rPr>
        <sz val="12"/>
        <color rgb="FF202122"/>
        <rFont val="Calibri"/>
        <family val="2"/>
      </rPr>
      <t>eniorenverlof en senioren</t>
    </r>
    <r>
      <rPr>
        <b/>
        <sz val="12"/>
        <color rgb="FF202122"/>
        <rFont val="Calibri"/>
        <family val="2"/>
      </rPr>
      <t>d</t>
    </r>
    <r>
      <rPr>
        <sz val="12"/>
        <color rgb="FF202122"/>
        <rFont val="Calibri"/>
        <family val="2"/>
      </rPr>
      <t>agen</t>
    </r>
  </si>
  <si>
    <t>Kies in welk compartiment van toepassing &gt;&gt;</t>
  </si>
  <si>
    <t>Anders</t>
  </si>
  <si>
    <t>Ja, werkzaam in het VMBO</t>
  </si>
  <si>
    <t>Werkzaam in het MBO/VMBO</t>
  </si>
  <si>
    <t>Werkzaam in het VMBO</t>
  </si>
  <si>
    <t>Individueel Keuzebudget</t>
  </si>
  <si>
    <t>Persoonlijk Budget</t>
  </si>
  <si>
    <t>De donkergroene cellen kunnen worden ingevuld. De berekening vindt plaats in de grijze en blauwe cellen</t>
  </si>
  <si>
    <t>400-uren compartiment (taken) + 59-uren (professionalisering) = 459 klokuren</t>
  </si>
  <si>
    <t>naar cel D30</t>
  </si>
  <si>
    <t xml:space="preserve">Totaal ingezette contacttijd is: </t>
  </si>
  <si>
    <t>Inzetmeter CAO 2025-2026</t>
  </si>
  <si>
    <t>Inzetmeter versie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</si>
</sst>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Red]\-0.0\ "/>
    <numFmt numFmtId="166" formatCode="0.000"/>
    <numFmt numFmtId="167" formatCode="0.00_ ;[Red]\-0.00\ "/>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
      <b/>
      <i/>
      <sz val="12"/>
      <color theme="1"/>
      <name val="Calibri"/>
      <family val="2"/>
      <scheme val="minor"/>
    </font>
    <font>
      <sz val="11"/>
      <color rgb="FFFF0000"/>
      <name val="Calibri"/>
      <family val="2"/>
      <scheme val="minor"/>
    </font>
    <font>
      <b/>
      <sz val="11"/>
      <color rgb="FFFF0000"/>
      <name val="Calibri"/>
      <family val="2"/>
      <scheme val="minor"/>
    </font>
    <font>
      <sz val="8"/>
      <name val="Calibri"/>
      <family val="2"/>
      <scheme val="minor"/>
    </font>
    <font>
      <b/>
      <sz val="18"/>
      <color theme="4" tint="-0.499984740745262"/>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2"/>
      <color theme="4" tint="-0.249977111117893"/>
      <name val="Calibri"/>
      <family val="2"/>
      <scheme val="minor"/>
    </font>
    <font>
      <b/>
      <sz val="18"/>
      <color theme="4" tint="-0.249977111117893"/>
      <name val="Calibri"/>
      <family val="2"/>
      <scheme val="minor"/>
    </font>
    <font>
      <sz val="11"/>
      <name val="Calibri"/>
      <family val="2"/>
      <scheme val="minor"/>
    </font>
    <font>
      <sz val="9"/>
      <color theme="1"/>
      <name val="Segoe UI"/>
      <family val="2"/>
    </font>
    <font>
      <sz val="14"/>
      <color theme="0"/>
      <name val="Calibri"/>
      <family val="2"/>
      <scheme val="minor"/>
    </font>
    <font>
      <b/>
      <sz val="20"/>
      <color theme="4" tint="-0.499984740745262"/>
      <name val="Calibri"/>
      <family val="2"/>
      <scheme val="minor"/>
    </font>
    <font>
      <sz val="11"/>
      <color theme="1"/>
      <name val="Calibri"/>
      <family val="2"/>
      <scheme val="minor"/>
    </font>
    <font>
      <sz val="14"/>
      <color theme="0" tint="-0.14999847407452621"/>
      <name val="Calibri"/>
      <family val="2"/>
      <scheme val="minor"/>
    </font>
    <font>
      <b/>
      <sz val="12"/>
      <color rgb="FF202122"/>
      <name val="Calibri"/>
      <family val="2"/>
    </font>
    <font>
      <sz val="12"/>
      <color rgb="FF202122"/>
      <name val="Calibri"/>
      <family val="2"/>
    </font>
    <font>
      <sz val="11"/>
      <color theme="0" tint="-0.1499984740745262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EFE4D6"/>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9"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tted">
        <color indexed="64"/>
      </bottom>
      <diagonal/>
    </border>
    <border>
      <left/>
      <right/>
      <top/>
      <bottom style="medium">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thin">
        <color indexed="64"/>
      </top>
      <bottom style="medium">
        <color indexed="64"/>
      </bottom>
      <diagonal/>
    </border>
    <border>
      <left style="medium">
        <color indexed="64"/>
      </left>
      <right/>
      <top/>
      <bottom style="dotted">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2" fillId="0" borderId="0" applyNumberFormat="0" applyFill="0" applyBorder="0" applyAlignment="0" applyProtection="0"/>
    <xf numFmtId="9" fontId="21" fillId="0" borderId="0" applyFont="0" applyFill="0" applyBorder="0" applyAlignment="0" applyProtection="0"/>
  </cellStyleXfs>
  <cellXfs count="289">
    <xf numFmtId="0" fontId="0" fillId="0" borderId="0" xfId="0"/>
    <xf numFmtId="0" fontId="0" fillId="0" borderId="0" xfId="0" applyAlignment="1">
      <alignment horizontal="center" vertical="center"/>
    </xf>
    <xf numFmtId="0" fontId="0" fillId="0" borderId="1" xfId="0" applyBorder="1"/>
    <xf numFmtId="0" fontId="0" fillId="0" borderId="0" xfId="0" applyAlignment="1">
      <alignment wrapText="1"/>
    </xf>
    <xf numFmtId="164" fontId="0" fillId="0" borderId="0" xfId="0" applyNumberFormat="1"/>
    <xf numFmtId="0" fontId="5" fillId="0" borderId="0" xfId="0" applyFont="1"/>
    <xf numFmtId="0" fontId="6" fillId="0" borderId="0" xfId="0" applyFont="1"/>
    <xf numFmtId="0" fontId="4" fillId="0" borderId="0" xfId="0" applyFont="1"/>
    <xf numFmtId="0" fontId="2" fillId="0" borderId="0" xfId="1"/>
    <xf numFmtId="164" fontId="0" fillId="3" borderId="1" xfId="0" applyNumberFormat="1" applyFill="1" applyBorder="1" applyProtection="1">
      <protection locked="0"/>
    </xf>
    <xf numFmtId="0" fontId="0" fillId="7" borderId="0" xfId="0" applyFill="1"/>
    <xf numFmtId="0" fontId="9" fillId="7" borderId="0" xfId="0" applyFont="1" applyFill="1"/>
    <xf numFmtId="0" fontId="8" fillId="7" borderId="0" xfId="0" applyFont="1" applyFill="1"/>
    <xf numFmtId="0" fontId="2" fillId="7" borderId="0" xfId="1" applyFill="1"/>
    <xf numFmtId="1" fontId="0" fillId="0" borderId="0" xfId="0" applyNumberFormat="1"/>
    <xf numFmtId="1" fontId="0" fillId="0" borderId="1" xfId="0" applyNumberFormat="1" applyBorder="1" applyAlignment="1">
      <alignment wrapText="1"/>
    </xf>
    <xf numFmtId="1" fontId="0" fillId="3" borderId="1" xfId="0" applyNumberFormat="1" applyFill="1" applyBorder="1" applyProtection="1">
      <protection locked="0"/>
    </xf>
    <xf numFmtId="164" fontId="0" fillId="0" borderId="1" xfId="0" applyNumberFormat="1" applyBorder="1" applyAlignment="1">
      <alignment wrapText="1"/>
    </xf>
    <xf numFmtId="164" fontId="2" fillId="0" borderId="0" xfId="1" applyNumberFormat="1"/>
    <xf numFmtId="0" fontId="0" fillId="0" borderId="1" xfId="0" applyBorder="1" applyAlignment="1">
      <alignment horizontal="center"/>
    </xf>
    <xf numFmtId="0" fontId="12" fillId="0" borderId="0" xfId="0" applyFont="1"/>
    <xf numFmtId="0" fontId="13" fillId="0" borderId="0" xfId="0" applyFont="1"/>
    <xf numFmtId="0" fontId="14" fillId="0" borderId="0" xfId="0" applyFont="1"/>
    <xf numFmtId="0" fontId="15" fillId="0" borderId="0" xfId="0" applyFont="1" applyAlignment="1">
      <alignment horizontal="left" vertical="center"/>
    </xf>
    <xf numFmtId="0" fontId="14" fillId="0" borderId="0" xfId="0" applyFont="1" applyAlignment="1">
      <alignment horizontal="left"/>
    </xf>
    <xf numFmtId="0" fontId="18" fillId="0" borderId="0" xfId="0" applyFont="1" applyAlignment="1">
      <alignment vertical="center"/>
    </xf>
    <xf numFmtId="0" fontId="2" fillId="0" borderId="0" xfId="1" applyAlignment="1">
      <alignment vertical="center"/>
    </xf>
    <xf numFmtId="0" fontId="4" fillId="0" borderId="0" xfId="0" applyFont="1" applyProtection="1">
      <protection hidden="1"/>
    </xf>
    <xf numFmtId="0" fontId="11" fillId="0" borderId="0" xfId="0" applyFont="1" applyProtection="1">
      <protection hidden="1"/>
    </xf>
    <xf numFmtId="0" fontId="19" fillId="0" borderId="0" xfId="0" applyFont="1" applyProtection="1">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top"/>
      <protection hidden="1"/>
    </xf>
    <xf numFmtId="0" fontId="0" fillId="3" borderId="1" xfId="0" applyFill="1" applyBorder="1" applyAlignment="1" applyProtection="1">
      <alignment horizontal="left" vertical="top" wrapText="1"/>
      <protection locked="0" hidden="1"/>
    </xf>
    <xf numFmtId="0" fontId="0" fillId="3" borderId="1" xfId="0" applyFill="1" applyBorder="1" applyProtection="1">
      <protection locked="0" hidden="1"/>
    </xf>
    <xf numFmtId="0" fontId="3" fillId="0" borderId="40" xfId="0" applyFont="1" applyBorder="1" applyAlignment="1" applyProtection="1">
      <alignment horizontal="center" vertical="center" wrapText="1"/>
      <protection hidden="1"/>
    </xf>
    <xf numFmtId="0" fontId="3" fillId="0" borderId="42"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right" vertical="center"/>
      <protection hidden="1"/>
    </xf>
    <xf numFmtId="164" fontId="5" fillId="0" borderId="0" xfId="0" applyNumberFormat="1" applyFont="1" applyAlignment="1" applyProtection="1">
      <alignment horizontal="right"/>
      <protection hidden="1"/>
    </xf>
    <xf numFmtId="0" fontId="0" fillId="0" borderId="0" xfId="0" applyProtection="1">
      <protection hidden="1"/>
    </xf>
    <xf numFmtId="0" fontId="3" fillId="3" borderId="16" xfId="0" applyFont="1" applyFill="1" applyBorder="1" applyAlignment="1" applyProtection="1">
      <alignment horizontal="center" vertical="center"/>
      <protection hidden="1"/>
    </xf>
    <xf numFmtId="164" fontId="3" fillId="3" borderId="4" xfId="0" applyNumberFormat="1" applyFont="1" applyFill="1" applyBorder="1" applyAlignment="1" applyProtection="1">
      <alignment horizontal="center"/>
      <protection hidden="1"/>
    </xf>
    <xf numFmtId="164" fontId="3" fillId="3" borderId="10" xfId="0" applyNumberFormat="1" applyFont="1" applyFill="1" applyBorder="1" applyAlignment="1" applyProtection="1">
      <alignment horizontal="center"/>
      <protection hidden="1"/>
    </xf>
    <xf numFmtId="0" fontId="3" fillId="0" borderId="0" xfId="0" applyFont="1" applyAlignment="1" applyProtection="1">
      <alignment horizontal="center" vertical="center" textRotation="45" wrapText="1"/>
      <protection hidden="1"/>
    </xf>
    <xf numFmtId="0" fontId="3" fillId="0" borderId="36" xfId="0" applyFont="1" applyBorder="1" applyAlignment="1" applyProtection="1">
      <alignment horizontal="left"/>
      <protection hidden="1"/>
    </xf>
    <xf numFmtId="49" fontId="0" fillId="0" borderId="36" xfId="0" applyNumberFormat="1" applyBorder="1" applyAlignment="1" applyProtection="1">
      <alignment horizontal="right"/>
      <protection hidden="1"/>
    </xf>
    <xf numFmtId="0" fontId="5" fillId="0" borderId="0" xfId="0" applyFont="1" applyProtection="1">
      <protection hidden="1"/>
    </xf>
    <xf numFmtId="0" fontId="6" fillId="0" borderId="0" xfId="0" applyFont="1" applyProtection="1">
      <protection hidden="1"/>
    </xf>
    <xf numFmtId="0" fontId="0" fillId="0" borderId="26" xfId="0" applyBorder="1" applyAlignment="1" applyProtection="1">
      <alignment horizontal="center" vertical="center" wrapText="1"/>
      <protection hidden="1"/>
    </xf>
    <xf numFmtId="164" fontId="0" fillId="0" borderId="26" xfId="0" applyNumberFormat="1"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 fillId="0" borderId="23" xfId="0" applyFont="1" applyBorder="1" applyAlignment="1" applyProtection="1">
      <alignment horizontal="left" vertical="center" wrapText="1"/>
      <protection hidden="1"/>
    </xf>
    <xf numFmtId="0" fontId="0" fillId="0" borderId="9" xfId="0" applyBorder="1" applyProtection="1">
      <protection hidden="1"/>
    </xf>
    <xf numFmtId="0" fontId="2" fillId="0" borderId="18" xfId="1" applyFill="1" applyBorder="1" applyProtection="1">
      <protection hidden="1"/>
    </xf>
    <xf numFmtId="2" fontId="0" fillId="0" borderId="19" xfId="0" applyNumberFormat="1" applyBorder="1" applyProtection="1">
      <protection hidden="1"/>
    </xf>
    <xf numFmtId="165" fontId="5" fillId="4" borderId="2" xfId="0" applyNumberFormat="1" applyFont="1" applyFill="1" applyBorder="1" applyProtection="1">
      <protection hidden="1"/>
    </xf>
    <xf numFmtId="165" fontId="5" fillId="4" borderId="14" xfId="0" applyNumberFormat="1" applyFont="1" applyFill="1" applyBorder="1" applyProtection="1">
      <protection hidden="1"/>
    </xf>
    <xf numFmtId="0" fontId="3" fillId="0" borderId="47" xfId="0" applyFont="1" applyBorder="1" applyAlignment="1" applyProtection="1">
      <alignment horizontal="left" vertical="center" wrapText="1"/>
      <protection hidden="1"/>
    </xf>
    <xf numFmtId="0" fontId="0" fillId="0" borderId="0" xfId="0" applyAlignment="1" applyProtection="1">
      <alignment horizontal="center" vertical="center"/>
      <protection hidden="1"/>
    </xf>
    <xf numFmtId="0" fontId="3" fillId="0" borderId="57" xfId="0" applyFont="1" applyBorder="1" applyAlignment="1" applyProtection="1">
      <alignment horizontal="left" vertical="center" wrapText="1"/>
      <protection hidden="1"/>
    </xf>
    <xf numFmtId="0" fontId="4" fillId="0" borderId="58" xfId="0" applyFont="1" applyBorder="1" applyProtection="1">
      <protection hidden="1"/>
    </xf>
    <xf numFmtId="0" fontId="4" fillId="4" borderId="5" xfId="0" applyFont="1" applyFill="1" applyBorder="1" applyAlignment="1" applyProtection="1">
      <alignment horizontal="center"/>
      <protection hidden="1"/>
    </xf>
    <xf numFmtId="0" fontId="4" fillId="4" borderId="42" xfId="0" applyFont="1" applyFill="1" applyBorder="1" applyAlignment="1" applyProtection="1">
      <alignment horizontal="center"/>
      <protection hidden="1"/>
    </xf>
    <xf numFmtId="0" fontId="4" fillId="0" borderId="41" xfId="0" applyFont="1" applyBorder="1" applyProtection="1">
      <protection hidden="1"/>
    </xf>
    <xf numFmtId="0" fontId="20" fillId="0" borderId="0" xfId="0" applyFont="1" applyProtection="1">
      <protection hidden="1"/>
    </xf>
    <xf numFmtId="0" fontId="18" fillId="0" borderId="0" xfId="0" applyFont="1" applyAlignment="1">
      <alignment wrapText="1"/>
    </xf>
    <xf numFmtId="0" fontId="3" fillId="0" borderId="0" xfId="0" applyFont="1" applyAlignment="1" applyProtection="1">
      <alignment horizontal="left" vertical="top"/>
      <protection hidden="1"/>
    </xf>
    <xf numFmtId="0" fontId="2" fillId="0" borderId="0" xfId="1" applyBorder="1" applyAlignment="1" applyProtection="1">
      <alignment horizontal="center"/>
      <protection hidden="1"/>
    </xf>
    <xf numFmtId="0" fontId="3" fillId="0" borderId="11" xfId="0" applyFont="1" applyBorder="1" applyAlignment="1" applyProtection="1">
      <alignment horizontal="left" vertical="center"/>
      <protection hidden="1"/>
    </xf>
    <xf numFmtId="1" fontId="0" fillId="10" borderId="1" xfId="0" applyNumberFormat="1" applyFill="1" applyBorder="1" applyAlignment="1" applyProtection="1">
      <alignment wrapText="1"/>
      <protection hidden="1"/>
    </xf>
    <xf numFmtId="1" fontId="0" fillId="10" borderId="1" xfId="0" applyNumberFormat="1" applyFill="1" applyBorder="1" applyAlignment="1" applyProtection="1">
      <alignment horizontal="left" vertical="top"/>
      <protection hidden="1"/>
    </xf>
    <xf numFmtId="1" fontId="5" fillId="10" borderId="8" xfId="0" applyNumberFormat="1" applyFont="1" applyFill="1" applyBorder="1" applyAlignment="1">
      <alignment horizontal="center" vertical="center"/>
    </xf>
    <xf numFmtId="0" fontId="4" fillId="0" borderId="60" xfId="0" applyFont="1" applyBorder="1" applyProtection="1">
      <protection hidden="1"/>
    </xf>
    <xf numFmtId="164" fontId="0" fillId="0" borderId="59" xfId="0" applyNumberFormat="1" applyBorder="1" applyAlignment="1" applyProtection="1">
      <alignment wrapText="1"/>
      <protection hidden="1"/>
    </xf>
    <xf numFmtId="164" fontId="0" fillId="4" borderId="1" xfId="0" applyNumberFormat="1" applyFill="1" applyBorder="1" applyAlignment="1">
      <alignment wrapText="1"/>
    </xf>
    <xf numFmtId="0" fontId="3" fillId="0" borderId="28" xfId="0" applyFont="1" applyBorder="1" applyAlignment="1" applyProtection="1">
      <alignment horizontal="left" vertical="center" wrapText="1"/>
      <protection hidden="1"/>
    </xf>
    <xf numFmtId="164" fontId="4" fillId="4" borderId="43" xfId="0" applyNumberFormat="1" applyFont="1" applyFill="1" applyBorder="1" applyAlignment="1" applyProtection="1">
      <alignment horizontal="center"/>
      <protection hidden="1"/>
    </xf>
    <xf numFmtId="0" fontId="22" fillId="4" borderId="44" xfId="0" applyFont="1" applyFill="1" applyBorder="1" applyAlignment="1" applyProtection="1">
      <alignment horizontal="center"/>
      <protection hidden="1"/>
    </xf>
    <xf numFmtId="0" fontId="0" fillId="0" borderId="0" xfId="0" applyAlignment="1" applyProtection="1">
      <alignment horizontal="left" vertical="top" wrapText="1"/>
      <protection hidden="1"/>
    </xf>
    <xf numFmtId="0" fontId="0" fillId="0" borderId="15" xfId="0" applyBorder="1" applyProtection="1">
      <protection hidden="1"/>
    </xf>
    <xf numFmtId="49" fontId="3" fillId="0" borderId="11" xfId="0" applyNumberFormat="1" applyFont="1" applyBorder="1" applyAlignment="1" applyProtection="1">
      <alignment horizontal="left" vertical="center"/>
      <protection hidden="1"/>
    </xf>
    <xf numFmtId="49" fontId="2" fillId="0" borderId="12" xfId="1" applyNumberFormat="1" applyBorder="1" applyAlignment="1" applyProtection="1">
      <alignment horizontal="center" vertical="center"/>
      <protection hidden="1"/>
    </xf>
    <xf numFmtId="49" fontId="2" fillId="0" borderId="12" xfId="1" applyNumberFormat="1" applyBorder="1" applyAlignment="1" applyProtection="1">
      <alignment horizontal="center" vertical="center" wrapText="1"/>
      <protection hidden="1"/>
    </xf>
    <xf numFmtId="0" fontId="3" fillId="0" borderId="16" xfId="0" applyFont="1" applyBorder="1" applyAlignment="1" applyProtection="1">
      <alignment horizontal="left" vertical="center"/>
      <protection hidden="1"/>
    </xf>
    <xf numFmtId="49" fontId="0" fillId="0" borderId="29" xfId="0" applyNumberFormat="1" applyBorder="1" applyAlignment="1" applyProtection="1">
      <alignment horizontal="center" vertical="center" wrapText="1"/>
      <protection hidden="1"/>
    </xf>
    <xf numFmtId="49" fontId="2" fillId="0" borderId="10" xfId="1" applyNumberFormat="1" applyBorder="1" applyAlignment="1" applyProtection="1">
      <alignment horizontal="center" vertical="center"/>
      <protection hidden="1"/>
    </xf>
    <xf numFmtId="0" fontId="0" fillId="2" borderId="30" xfId="0" applyFill="1" applyBorder="1" applyAlignment="1" applyProtection="1">
      <alignment horizontal="left" vertical="center" wrapText="1"/>
      <protection hidden="1"/>
    </xf>
    <xf numFmtId="0" fontId="0" fillId="2" borderId="17" xfId="0" applyFill="1" applyBorder="1" applyAlignment="1" applyProtection="1">
      <alignment horizontal="center" vertical="center" wrapText="1"/>
      <protection hidden="1"/>
    </xf>
    <xf numFmtId="164" fontId="25" fillId="4" borderId="14" xfId="0" applyNumberFormat="1" applyFont="1" applyFill="1" applyBorder="1"/>
    <xf numFmtId="164" fontId="0" fillId="4" borderId="12" xfId="0" applyNumberFormat="1" applyFill="1" applyBorder="1" applyAlignment="1">
      <alignment wrapText="1"/>
    </xf>
    <xf numFmtId="166" fontId="0" fillId="10" borderId="1" xfId="0" applyNumberFormat="1" applyFill="1" applyBorder="1"/>
    <xf numFmtId="0" fontId="17" fillId="3" borderId="6" xfId="0" applyFont="1" applyFill="1" applyBorder="1" applyAlignment="1" applyProtection="1">
      <alignment horizontal="left" vertical="top" wrapText="1"/>
      <protection locked="0"/>
    </xf>
    <xf numFmtId="166" fontId="0" fillId="3" borderId="1" xfId="0" applyNumberFormat="1" applyFill="1" applyBorder="1" applyProtection="1">
      <protection locked="0"/>
    </xf>
    <xf numFmtId="166" fontId="0" fillId="3" borderId="2" xfId="0" applyNumberFormat="1" applyFill="1" applyBorder="1" applyProtection="1">
      <protection locked="0"/>
    </xf>
    <xf numFmtId="0" fontId="17" fillId="3" borderId="46" xfId="0" applyFont="1" applyFill="1" applyBorder="1" applyAlignment="1" applyProtection="1">
      <alignment horizontal="left" wrapText="1"/>
      <protection locked="0"/>
    </xf>
    <xf numFmtId="0" fontId="3" fillId="3" borderId="1" xfId="0" applyFont="1" applyFill="1" applyBorder="1" applyProtection="1">
      <protection locked="0"/>
    </xf>
    <xf numFmtId="0" fontId="3" fillId="3" borderId="2" xfId="0" applyFont="1" applyFill="1" applyBorder="1" applyProtection="1">
      <protection locked="0"/>
    </xf>
    <xf numFmtId="9" fontId="4" fillId="3" borderId="13" xfId="2" applyFont="1" applyFill="1" applyBorder="1" applyAlignment="1" applyProtection="1">
      <alignment horizontal="center" vertical="center"/>
      <protection locked="0"/>
    </xf>
    <xf numFmtId="1" fontId="4" fillId="3" borderId="2" xfId="0" applyNumberFormat="1" applyFont="1" applyFill="1" applyBorder="1" applyAlignment="1" applyProtection="1">
      <alignment horizontal="center" vertical="center"/>
      <protection locked="0"/>
    </xf>
    <xf numFmtId="1" fontId="4" fillId="3" borderId="14" xfId="0" applyNumberFormat="1" applyFont="1" applyFill="1" applyBorder="1" applyAlignment="1" applyProtection="1">
      <alignment horizontal="center" vertical="center"/>
      <protection locked="0"/>
    </xf>
    <xf numFmtId="165" fontId="0" fillId="3" borderId="16" xfId="0" applyNumberFormat="1" applyFill="1" applyBorder="1" applyAlignment="1" applyProtection="1">
      <alignment horizontal="right"/>
      <protection locked="0"/>
    </xf>
    <xf numFmtId="164" fontId="0" fillId="8" borderId="4" xfId="0" applyNumberFormat="1" applyFill="1" applyBorder="1"/>
    <xf numFmtId="165" fontId="0" fillId="4" borderId="11" xfId="0" applyNumberFormat="1" applyFill="1" applyBorder="1" applyAlignment="1">
      <alignment horizontal="right"/>
    </xf>
    <xf numFmtId="164" fontId="0" fillId="8" borderId="1" xfId="0" applyNumberFormat="1" applyFill="1" applyBorder="1"/>
    <xf numFmtId="164" fontId="0" fillId="8" borderId="12" xfId="0" applyNumberFormat="1" applyFill="1" applyBorder="1"/>
    <xf numFmtId="165" fontId="0" fillId="4" borderId="13" xfId="0" applyNumberFormat="1" applyFill="1" applyBorder="1" applyAlignment="1">
      <alignment horizontal="right"/>
    </xf>
    <xf numFmtId="164" fontId="0" fillId="8" borderId="2" xfId="0" applyNumberFormat="1" applyFill="1" applyBorder="1"/>
    <xf numFmtId="164" fontId="0" fillId="4" borderId="12" xfId="0" applyNumberFormat="1" applyFill="1" applyBorder="1"/>
    <xf numFmtId="2" fontId="25" fillId="4" borderId="65" xfId="0" applyNumberFormat="1" applyFont="1" applyFill="1" applyBorder="1" applyAlignment="1" applyProtection="1">
      <alignment horizontal="right" wrapText="1"/>
      <protection locked="0"/>
    </xf>
    <xf numFmtId="164" fontId="0" fillId="3" borderId="6" xfId="0" applyNumberFormat="1" applyFill="1" applyBorder="1" applyProtection="1">
      <protection locked="0"/>
    </xf>
    <xf numFmtId="164" fontId="0" fillId="5" borderId="20" xfId="0" applyNumberFormat="1" applyFill="1" applyBorder="1" applyProtection="1">
      <protection locked="0"/>
    </xf>
    <xf numFmtId="164" fontId="0" fillId="5" borderId="12" xfId="0" applyNumberFormat="1" applyFill="1" applyBorder="1" applyProtection="1">
      <protection locked="0"/>
    </xf>
    <xf numFmtId="164" fontId="0" fillId="3" borderId="26" xfId="0" applyNumberFormat="1" applyFill="1" applyBorder="1" applyProtection="1">
      <protection locked="0"/>
    </xf>
    <xf numFmtId="164" fontId="0" fillId="3" borderId="4" xfId="0" applyNumberFormat="1" applyFill="1" applyBorder="1" applyProtection="1">
      <protection locked="0"/>
    </xf>
    <xf numFmtId="164" fontId="0" fillId="5" borderId="10" xfId="0" applyNumberFormat="1" applyFill="1" applyBorder="1" applyProtection="1">
      <protection locked="0"/>
    </xf>
    <xf numFmtId="164" fontId="0" fillId="3" borderId="2" xfId="0" applyNumberFormat="1" applyFill="1" applyBorder="1" applyProtection="1">
      <protection locked="0"/>
    </xf>
    <xf numFmtId="164" fontId="0" fillId="5" borderId="14" xfId="0" applyNumberFormat="1" applyFill="1" applyBorder="1" applyProtection="1">
      <protection locked="0"/>
    </xf>
    <xf numFmtId="2" fontId="25" fillId="4" borderId="1" xfId="0" applyNumberFormat="1" applyFont="1" applyFill="1" applyBorder="1" applyProtection="1">
      <protection locked="0"/>
    </xf>
    <xf numFmtId="2" fontId="0" fillId="4" borderId="3" xfId="0" applyNumberFormat="1" applyFill="1" applyBorder="1"/>
    <xf numFmtId="164" fontId="0" fillId="4" borderId="10" xfId="0" applyNumberFormat="1" applyFill="1" applyBorder="1"/>
    <xf numFmtId="2" fontId="0" fillId="4" borderId="1" xfId="0" applyNumberFormat="1" applyFill="1" applyBorder="1"/>
    <xf numFmtId="164" fontId="25" fillId="4" borderId="12" xfId="0" applyNumberFormat="1" applyFont="1" applyFill="1" applyBorder="1"/>
    <xf numFmtId="164" fontId="0" fillId="4" borderId="6" xfId="0" applyNumberFormat="1" applyFill="1" applyBorder="1"/>
    <xf numFmtId="164" fontId="0" fillId="4" borderId="20" xfId="0" applyNumberFormat="1" applyFill="1" applyBorder="1"/>
    <xf numFmtId="2" fontId="0" fillId="4" borderId="5" xfId="0" applyNumberFormat="1" applyFill="1" applyBorder="1" applyAlignment="1">
      <alignment horizontal="right" wrapText="1"/>
    </xf>
    <xf numFmtId="0" fontId="5" fillId="0" borderId="67" xfId="0" applyFont="1" applyBorder="1" applyAlignment="1" applyProtection="1">
      <alignment vertical="center"/>
      <protection hidden="1"/>
    </xf>
    <xf numFmtId="0" fontId="5" fillId="0" borderId="42"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49" fontId="2" fillId="0" borderId="20" xfId="1" applyNumberFormat="1" applyBorder="1" applyAlignment="1" applyProtection="1">
      <alignment horizontal="center" vertical="center"/>
      <protection hidden="1"/>
    </xf>
    <xf numFmtId="0" fontId="0" fillId="0" borderId="16" xfId="0" applyBorder="1" applyAlignment="1" applyProtection="1">
      <alignment vertical="center"/>
      <protection hidden="1"/>
    </xf>
    <xf numFmtId="0" fontId="2" fillId="0" borderId="10" xfId="1" applyBorder="1" applyAlignment="1" applyProtection="1">
      <alignment horizontal="center"/>
      <protection hidden="1"/>
    </xf>
    <xf numFmtId="0" fontId="0" fillId="0" borderId="68" xfId="0" applyBorder="1" applyProtection="1">
      <protection hidden="1"/>
    </xf>
    <xf numFmtId="0" fontId="2" fillId="0" borderId="10" xfId="1" applyBorder="1" applyAlignment="1" applyProtection="1">
      <alignment horizontal="center" vertical="center"/>
      <protection hidden="1"/>
    </xf>
    <xf numFmtId="2" fontId="25" fillId="4" borderId="66" xfId="0" applyNumberFormat="1" applyFont="1" applyFill="1" applyBorder="1" applyProtection="1">
      <protection locked="0"/>
    </xf>
    <xf numFmtId="165" fontId="5" fillId="4" borderId="4" xfId="0" applyNumberFormat="1" applyFont="1" applyFill="1" applyBorder="1" applyAlignment="1">
      <alignment horizontal="right"/>
    </xf>
    <xf numFmtId="165" fontId="5" fillId="4" borderId="35" xfId="0" applyNumberFormat="1" applyFont="1" applyFill="1" applyBorder="1" applyAlignment="1">
      <alignment horizontal="right"/>
    </xf>
    <xf numFmtId="165" fontId="5" fillId="4" borderId="10" xfId="0" applyNumberFormat="1" applyFont="1" applyFill="1" applyBorder="1" applyAlignment="1">
      <alignment horizontal="right"/>
    </xf>
    <xf numFmtId="165" fontId="5" fillId="4" borderId="39" xfId="0" applyNumberFormat="1" applyFont="1" applyFill="1" applyBorder="1" applyAlignment="1">
      <alignment horizontal="right"/>
    </xf>
    <xf numFmtId="164" fontId="6" fillId="4" borderId="20"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165" fontId="6" fillId="4" borderId="20" xfId="0" applyNumberFormat="1" applyFont="1" applyFill="1" applyBorder="1" applyAlignment="1">
      <alignment horizontal="center" vertical="center" wrapText="1"/>
    </xf>
    <xf numFmtId="1" fontId="6" fillId="4" borderId="6" xfId="0" applyNumberFormat="1" applyFont="1" applyFill="1" applyBorder="1" applyAlignment="1">
      <alignment horizontal="center" vertical="center" wrapText="1"/>
    </xf>
    <xf numFmtId="2" fontId="17" fillId="4" borderId="26" xfId="0" applyNumberFormat="1" applyFont="1" applyFill="1" applyBorder="1" applyAlignment="1">
      <alignment horizontal="right" wrapText="1"/>
    </xf>
    <xf numFmtId="164" fontId="5" fillId="4" borderId="39" xfId="0" applyNumberFormat="1" applyFont="1" applyFill="1" applyBorder="1" applyAlignment="1">
      <alignment horizontal="right"/>
    </xf>
    <xf numFmtId="164" fontId="5" fillId="4" borderId="2" xfId="0" applyNumberFormat="1" applyFont="1" applyFill="1" applyBorder="1" applyAlignment="1">
      <alignment horizontal="right"/>
    </xf>
    <xf numFmtId="164" fontId="5" fillId="4" borderId="13" xfId="0" applyNumberFormat="1" applyFont="1" applyFill="1" applyBorder="1" applyAlignment="1">
      <alignment horizontal="right"/>
    </xf>
    <xf numFmtId="0" fontId="3" fillId="0" borderId="61" xfId="0" applyFont="1" applyBorder="1" applyAlignment="1" applyProtection="1">
      <alignment horizontal="left" vertical="center" wrapText="1"/>
      <protection hidden="1"/>
    </xf>
    <xf numFmtId="1" fontId="0" fillId="10" borderId="4" xfId="0" applyNumberFormat="1" applyFill="1" applyBorder="1" applyAlignment="1" applyProtection="1">
      <alignment wrapText="1"/>
      <protection hidden="1"/>
    </xf>
    <xf numFmtId="166" fontId="0" fillId="3" borderId="4" xfId="0" applyNumberFormat="1" applyFill="1" applyBorder="1" applyProtection="1">
      <protection locked="0" hidden="1"/>
    </xf>
    <xf numFmtId="164" fontId="0" fillId="4" borderId="10" xfId="0" applyNumberFormat="1" applyFill="1" applyBorder="1" applyAlignment="1">
      <alignment wrapText="1"/>
    </xf>
    <xf numFmtId="0" fontId="0" fillId="2" borderId="37" xfId="0" applyFill="1" applyBorder="1" applyAlignment="1" applyProtection="1">
      <alignment horizontal="left" vertical="top" wrapText="1"/>
      <protection hidden="1"/>
    </xf>
    <xf numFmtId="0" fontId="0" fillId="2" borderId="37" xfId="0" applyFill="1" applyBorder="1" applyAlignment="1" applyProtection="1">
      <alignment vertical="top" wrapText="1"/>
      <protection hidden="1"/>
    </xf>
    <xf numFmtId="164" fontId="0" fillId="2" borderId="37" xfId="0" applyNumberFormat="1" applyFill="1" applyBorder="1" applyAlignment="1" applyProtection="1">
      <alignment horizontal="center" vertical="center"/>
      <protection hidden="1"/>
    </xf>
    <xf numFmtId="0" fontId="0" fillId="2" borderId="23" xfId="0" applyFill="1" applyBorder="1" applyAlignment="1" applyProtection="1">
      <alignment vertical="top"/>
      <protection hidden="1"/>
    </xf>
    <xf numFmtId="0" fontId="3" fillId="0" borderId="24" xfId="0" applyFont="1" applyBorder="1" applyAlignment="1" applyProtection="1">
      <alignment horizontal="left" vertical="center"/>
      <protection hidden="1"/>
    </xf>
    <xf numFmtId="164" fontId="0" fillId="4" borderId="1" xfId="0" applyNumberFormat="1" applyFill="1" applyBorder="1" applyAlignment="1">
      <alignment horizontal="right" wrapText="1"/>
    </xf>
    <xf numFmtId="164" fontId="0" fillId="9" borderId="8" xfId="0" applyNumberFormat="1" applyFill="1" applyBorder="1"/>
    <xf numFmtId="164" fontId="0" fillId="0" borderId="1" xfId="0" applyNumberFormat="1" applyBorder="1"/>
    <xf numFmtId="1" fontId="0" fillId="3" borderId="1" xfId="0" applyNumberFormat="1" applyFill="1" applyBorder="1" applyAlignment="1" applyProtection="1">
      <alignment horizontal="left"/>
      <protection locked="0"/>
    </xf>
    <xf numFmtId="1" fontId="0" fillId="3" borderId="1" xfId="0" applyNumberFormat="1" applyFill="1" applyBorder="1" applyAlignment="1" applyProtection="1">
      <alignment horizontal="right"/>
      <protection locked="0"/>
      <extLst>
        <ext xmlns:xfpb="http://schemas.microsoft.com/office/spreadsheetml/2022/featurepropertybag" uri="{C7286773-470A-42A8-94C5-96B5CB345126}">
          <xfpb:xfComplement i="0"/>
        </ext>
      </extLst>
    </xf>
    <xf numFmtId="167" fontId="5" fillId="4" borderId="13" xfId="0" applyNumberFormat="1" applyFont="1" applyFill="1" applyBorder="1" applyProtection="1">
      <protection hidden="1"/>
    </xf>
    <xf numFmtId="0" fontId="5" fillId="0" borderId="21" xfId="0" applyFont="1" applyBorder="1" applyAlignment="1" applyProtection="1">
      <alignment vertical="center" wrapText="1"/>
      <protection hidden="1"/>
    </xf>
    <xf numFmtId="0" fontId="5" fillId="0" borderId="21" xfId="0" applyFont="1" applyBorder="1" applyAlignment="1" applyProtection="1">
      <alignment vertical="center"/>
      <protection hidden="1"/>
    </xf>
    <xf numFmtId="166" fontId="5" fillId="4" borderId="70" xfId="0" applyNumberFormat="1" applyFont="1" applyFill="1" applyBorder="1" applyProtection="1">
      <protection hidden="1"/>
    </xf>
    <xf numFmtId="166" fontId="5" fillId="4" borderId="39" xfId="0" applyNumberFormat="1" applyFont="1" applyFill="1" applyBorder="1" applyProtection="1">
      <protection hidden="1"/>
    </xf>
    <xf numFmtId="0" fontId="3" fillId="3" borderId="37" xfId="0" applyFont="1" applyFill="1" applyBorder="1" applyAlignment="1" applyProtection="1">
      <alignment horizontal="left" vertical="top" wrapText="1"/>
      <protection hidden="1"/>
    </xf>
    <xf numFmtId="0" fontId="3" fillId="3" borderId="40" xfId="0" applyFont="1" applyFill="1" applyBorder="1" applyAlignment="1" applyProtection="1">
      <alignment horizontal="left" vertical="top" wrapText="1"/>
      <protection hidden="1"/>
    </xf>
    <xf numFmtId="0" fontId="3" fillId="3" borderId="15" xfId="0" applyFont="1" applyFill="1" applyBorder="1" applyAlignment="1" applyProtection="1">
      <alignment horizontal="left" vertical="top" wrapText="1"/>
      <protection hidden="1"/>
    </xf>
    <xf numFmtId="0" fontId="3" fillId="3" borderId="42" xfId="0" applyFont="1" applyFill="1" applyBorder="1" applyAlignment="1" applyProtection="1">
      <alignment horizontal="left" vertical="top" wrapText="1"/>
      <protection hidden="1"/>
    </xf>
    <xf numFmtId="0" fontId="3" fillId="3" borderId="7" xfId="0" applyFont="1" applyFill="1" applyBorder="1" applyAlignment="1" applyProtection="1">
      <alignment horizontal="left" vertical="top" wrapText="1"/>
      <protection hidden="1"/>
    </xf>
    <xf numFmtId="0" fontId="3" fillId="3" borderId="38" xfId="0" applyFont="1" applyFill="1" applyBorder="1" applyAlignment="1" applyProtection="1">
      <alignment horizontal="left" vertical="top" wrapText="1"/>
      <protection hidden="1"/>
    </xf>
    <xf numFmtId="0" fontId="3" fillId="0" borderId="11" xfId="0" applyFont="1" applyBorder="1" applyAlignment="1" applyProtection="1">
      <alignment horizontal="left" vertical="center"/>
      <protection hidden="1"/>
    </xf>
    <xf numFmtId="0" fontId="3" fillId="0" borderId="28" xfId="0" applyFont="1" applyBorder="1" applyAlignment="1" applyProtection="1">
      <alignment horizontal="left" vertical="center" wrapText="1"/>
      <protection hidden="1"/>
    </xf>
    <xf numFmtId="0" fontId="3" fillId="0" borderId="52"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0" fillId="3" borderId="37" xfId="0" applyFill="1" applyBorder="1" applyAlignment="1" applyProtection="1">
      <alignment horizontal="left" vertical="top" wrapText="1"/>
      <protection hidden="1"/>
    </xf>
    <xf numFmtId="0" fontId="0" fillId="3" borderId="40" xfId="0" applyFill="1" applyBorder="1" applyAlignment="1" applyProtection="1">
      <alignment horizontal="left" vertical="top" wrapText="1"/>
      <protection hidden="1"/>
    </xf>
    <xf numFmtId="0" fontId="0" fillId="5" borderId="37" xfId="0" applyFill="1" applyBorder="1" applyAlignment="1" applyProtection="1">
      <alignment horizontal="left" vertical="top" wrapText="1"/>
      <protection hidden="1"/>
    </xf>
    <xf numFmtId="0" fontId="0" fillId="5" borderId="40" xfId="0" applyFill="1" applyBorder="1" applyAlignment="1" applyProtection="1">
      <alignment horizontal="left" vertical="top" wrapText="1"/>
      <protection hidden="1"/>
    </xf>
    <xf numFmtId="0" fontId="0" fillId="5" borderId="7" xfId="0" applyFill="1" applyBorder="1" applyAlignment="1" applyProtection="1">
      <alignment horizontal="left" vertical="top" wrapText="1"/>
      <protection hidden="1"/>
    </xf>
    <xf numFmtId="0" fontId="0" fillId="5" borderId="38" xfId="0" applyFill="1" applyBorder="1" applyAlignment="1" applyProtection="1">
      <alignment horizontal="left" vertical="top" wrapText="1"/>
      <protection hidden="1"/>
    </xf>
    <xf numFmtId="0" fontId="3" fillId="0" borderId="2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1" fontId="0" fillId="10" borderId="53" xfId="0" applyNumberFormat="1" applyFill="1" applyBorder="1" applyAlignment="1">
      <alignment horizontal="left"/>
    </xf>
    <xf numFmtId="1" fontId="0" fillId="10" borderId="45" xfId="0" applyNumberFormat="1" applyFill="1" applyBorder="1" applyAlignment="1">
      <alignment horizontal="left"/>
    </xf>
    <xf numFmtId="1" fontId="0" fillId="10" borderId="63" xfId="0" applyNumberFormat="1" applyFill="1" applyBorder="1" applyAlignment="1">
      <alignment horizontal="left"/>
    </xf>
    <xf numFmtId="1" fontId="0" fillId="10" borderId="64" xfId="0" applyNumberFormat="1" applyFill="1" applyBorder="1" applyAlignment="1">
      <alignment horizontal="left"/>
    </xf>
    <xf numFmtId="1" fontId="0" fillId="3" borderId="11" xfId="0" applyNumberFormat="1"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0" fontId="4" fillId="4" borderId="43" xfId="0" applyFont="1" applyFill="1" applyBorder="1" applyAlignment="1" applyProtection="1">
      <alignment horizontal="center"/>
      <protection hidden="1"/>
    </xf>
    <xf numFmtId="0" fontId="4" fillId="4" borderId="44" xfId="0" applyFont="1" applyFill="1" applyBorder="1" applyAlignment="1" applyProtection="1">
      <alignment horizontal="center"/>
      <protection hidden="1"/>
    </xf>
    <xf numFmtId="0" fontId="4" fillId="6" borderId="21" xfId="0" applyFont="1" applyFill="1" applyBorder="1" applyAlignment="1" applyProtection="1">
      <alignment horizontal="center" vertical="center" wrapText="1"/>
      <protection hidden="1"/>
    </xf>
    <xf numFmtId="0" fontId="5" fillId="6" borderId="36" xfId="0" applyFont="1" applyFill="1" applyBorder="1" applyAlignment="1" applyProtection="1">
      <alignment horizontal="center" vertical="center" wrapText="1"/>
      <protection hidden="1"/>
    </xf>
    <xf numFmtId="0" fontId="5" fillId="6" borderId="22" xfId="0" applyFont="1" applyFill="1" applyBorder="1" applyAlignment="1" applyProtection="1">
      <alignment horizontal="center" vertical="center" wrapText="1"/>
      <protection hidden="1"/>
    </xf>
    <xf numFmtId="0" fontId="3" fillId="2" borderId="52" xfId="0" applyFont="1" applyFill="1" applyBorder="1" applyAlignment="1" applyProtection="1">
      <alignment horizontal="left" wrapText="1"/>
      <protection hidden="1"/>
    </xf>
    <xf numFmtId="0" fontId="3" fillId="2" borderId="31" xfId="0" applyFont="1" applyFill="1" applyBorder="1" applyAlignment="1" applyProtection="1">
      <alignment horizontal="left" wrapText="1"/>
      <protection hidden="1"/>
    </xf>
    <xf numFmtId="0" fontId="7" fillId="0" borderId="5" xfId="0" applyFont="1" applyBorder="1" applyAlignment="1" applyProtection="1">
      <alignment horizontal="center" vertical="center" wrapText="1"/>
      <protection hidden="1"/>
    </xf>
    <xf numFmtId="0" fontId="7" fillId="0" borderId="54" xfId="0" applyFont="1" applyBorder="1" applyAlignment="1" applyProtection="1">
      <alignment horizontal="center" vertical="center" wrapText="1"/>
      <protection hidden="1"/>
    </xf>
    <xf numFmtId="0" fontId="7" fillId="0" borderId="50"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0" fillId="10" borderId="37" xfId="0" applyFill="1" applyBorder="1" applyAlignment="1" applyProtection="1">
      <alignment horizontal="left"/>
      <protection hidden="1"/>
    </xf>
    <xf numFmtId="0" fontId="0" fillId="10" borderId="51" xfId="0" applyFill="1" applyBorder="1" applyAlignment="1" applyProtection="1">
      <alignment horizontal="left"/>
      <protection hidden="1"/>
    </xf>
    <xf numFmtId="0" fontId="3" fillId="0" borderId="23" xfId="0" applyFont="1" applyBorder="1" applyAlignment="1" applyProtection="1">
      <alignment horizontal="left" vertical="center" wrapText="1"/>
      <protection hidden="1"/>
    </xf>
    <xf numFmtId="0" fontId="3" fillId="0" borderId="25" xfId="0" applyFont="1" applyBorder="1" applyAlignment="1" applyProtection="1">
      <alignment horizontal="center" vertical="center" textRotation="60"/>
      <protection hidden="1"/>
    </xf>
    <xf numFmtId="0" fontId="3" fillId="0" borderId="33" xfId="0" applyFont="1" applyBorder="1" applyAlignment="1" applyProtection="1">
      <alignment horizontal="center" vertical="center" textRotation="60"/>
      <protection hidden="1"/>
    </xf>
    <xf numFmtId="1" fontId="0" fillId="10" borderId="24" xfId="0" applyNumberFormat="1" applyFill="1" applyBorder="1" applyAlignment="1" applyProtection="1">
      <alignment horizontal="left"/>
      <protection locked="0" hidden="1"/>
    </xf>
    <xf numFmtId="1" fontId="0" fillId="10" borderId="43" xfId="0" applyNumberFormat="1" applyFill="1" applyBorder="1" applyAlignment="1" applyProtection="1">
      <alignment horizontal="left"/>
      <protection locked="0" hidden="1"/>
    </xf>
    <xf numFmtId="1" fontId="0" fillId="10" borderId="11" xfId="0" applyNumberFormat="1" applyFill="1" applyBorder="1" applyAlignment="1">
      <alignment horizontal="left"/>
    </xf>
    <xf numFmtId="1" fontId="0" fillId="10" borderId="62" xfId="0" applyNumberFormat="1" applyFill="1" applyBorder="1" applyAlignment="1">
      <alignment horizontal="left"/>
    </xf>
    <xf numFmtId="1" fontId="0" fillId="3" borderId="16" xfId="0" applyNumberFormat="1" applyFill="1" applyBorder="1" applyAlignment="1" applyProtection="1">
      <alignment horizontal="center"/>
      <protection locked="0"/>
    </xf>
    <xf numFmtId="1" fontId="0" fillId="3" borderId="4" xfId="0" applyNumberFormat="1" applyFill="1" applyBorder="1" applyAlignment="1" applyProtection="1">
      <alignment horizontal="center"/>
      <protection locked="0"/>
    </xf>
    <xf numFmtId="0" fontId="3" fillId="0" borderId="33" xfId="0" applyFont="1" applyBorder="1" applyAlignment="1" applyProtection="1">
      <alignment horizontal="left" vertical="center" wrapText="1"/>
      <protection hidden="1"/>
    </xf>
    <xf numFmtId="0" fontId="7" fillId="0" borderId="3" xfId="0" applyFont="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0" fontId="3" fillId="0" borderId="25" xfId="0" applyFont="1" applyBorder="1" applyAlignment="1" applyProtection="1">
      <alignment horizontal="center" vertical="center" textRotation="59"/>
      <protection hidden="1"/>
    </xf>
    <xf numFmtId="0" fontId="3" fillId="0" borderId="33" xfId="0" applyFont="1" applyBorder="1" applyAlignment="1" applyProtection="1">
      <alignment horizontal="center" vertical="center" textRotation="59"/>
      <protection hidden="1"/>
    </xf>
    <xf numFmtId="1" fontId="0" fillId="3" borderId="18" xfId="0" applyNumberFormat="1" applyFill="1" applyBorder="1" applyAlignment="1" applyProtection="1">
      <alignment horizontal="left"/>
      <protection locked="0"/>
    </xf>
    <xf numFmtId="1" fontId="0" fillId="3" borderId="56" xfId="0" applyNumberFormat="1" applyFill="1" applyBorder="1" applyAlignment="1" applyProtection="1">
      <alignment horizontal="left"/>
      <protection locked="0"/>
    </xf>
    <xf numFmtId="1" fontId="0" fillId="10" borderId="53" xfId="0" applyNumberFormat="1" applyFill="1" applyBorder="1" applyAlignment="1" applyProtection="1">
      <alignment horizontal="left" wrapText="1"/>
      <protection hidden="1"/>
    </xf>
    <xf numFmtId="1" fontId="0" fillId="10" borderId="45" xfId="0" applyNumberFormat="1" applyFill="1" applyBorder="1" applyAlignment="1" applyProtection="1">
      <alignment horizontal="left" wrapText="1"/>
      <protection hidden="1"/>
    </xf>
    <xf numFmtId="1" fontId="0" fillId="10" borderId="63" xfId="0" applyNumberFormat="1" applyFill="1" applyBorder="1" applyAlignment="1">
      <alignment horizontal="left" wrapText="1"/>
    </xf>
    <xf numFmtId="1" fontId="0" fillId="10" borderId="64" xfId="0" applyNumberFormat="1" applyFill="1" applyBorder="1" applyAlignment="1">
      <alignment horizontal="left" wrapText="1"/>
    </xf>
    <xf numFmtId="0" fontId="4" fillId="10" borderId="21" xfId="0" applyFont="1" applyFill="1" applyBorder="1" applyAlignment="1" applyProtection="1">
      <alignment horizontal="center" vertical="center"/>
      <protection hidden="1"/>
    </xf>
    <xf numFmtId="0" fontId="4" fillId="10" borderId="22" xfId="0" applyFont="1" applyFill="1" applyBorder="1" applyAlignment="1" applyProtection="1">
      <alignment horizontal="center" vertical="center"/>
      <protection hidden="1"/>
    </xf>
    <xf numFmtId="0" fontId="17" fillId="10" borderId="26" xfId="0" applyFont="1" applyFill="1" applyBorder="1" applyAlignment="1" applyProtection="1">
      <alignment horizontal="left" vertical="top" wrapText="1"/>
      <protection hidden="1"/>
    </xf>
    <xf numFmtId="0" fontId="17" fillId="10" borderId="6" xfId="0" applyFont="1" applyFill="1" applyBorder="1" applyAlignment="1" applyProtection="1">
      <alignment horizontal="left" vertical="top" wrapText="1"/>
      <protection hidden="1"/>
    </xf>
    <xf numFmtId="0" fontId="4" fillId="4" borderId="32" xfId="0" applyFont="1" applyFill="1" applyBorder="1" applyAlignment="1" applyProtection="1">
      <alignment horizontal="center"/>
      <protection hidden="1"/>
    </xf>
    <xf numFmtId="0" fontId="4" fillId="4" borderId="41" xfId="0" applyFont="1" applyFill="1" applyBorder="1" applyAlignment="1" applyProtection="1">
      <alignment horizontal="center"/>
      <protection hidden="1"/>
    </xf>
    <xf numFmtId="0" fontId="4" fillId="4" borderId="1"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4" fillId="4" borderId="26" xfId="0" applyFont="1" applyFill="1" applyBorder="1" applyAlignment="1" applyProtection="1">
      <alignment horizontal="center"/>
      <protection hidden="1"/>
    </xf>
    <xf numFmtId="0" fontId="4" fillId="4" borderId="29" xfId="0" applyFont="1" applyFill="1" applyBorder="1" applyAlignment="1" applyProtection="1">
      <alignment horizontal="center"/>
      <protection hidden="1"/>
    </xf>
    <xf numFmtId="1" fontId="0" fillId="3" borderId="1" xfId="0" applyNumberFormat="1" applyFill="1" applyBorder="1" applyAlignment="1" applyProtection="1">
      <alignment horizontal="left"/>
      <protection locked="0"/>
    </xf>
    <xf numFmtId="166" fontId="0" fillId="3" borderId="1" xfId="0" applyNumberFormat="1" applyFill="1" applyBorder="1" applyAlignment="1">
      <alignment vertical="top" wrapText="1"/>
    </xf>
    <xf numFmtId="0" fontId="23" fillId="0" borderId="11" xfId="0" applyFont="1" applyBorder="1" applyAlignment="1" applyProtection="1">
      <alignment horizontal="left" vertical="center" wrapText="1"/>
      <protection hidden="1"/>
    </xf>
    <xf numFmtId="2" fontId="4" fillId="3" borderId="21" xfId="0" applyNumberFormat="1" applyFont="1" applyFill="1" applyBorder="1" applyAlignment="1" applyProtection="1">
      <alignment horizontal="center" vertical="center"/>
      <protection locked="0" hidden="1"/>
    </xf>
    <xf numFmtId="2" fontId="4" fillId="3" borderId="36" xfId="0" applyNumberFormat="1" applyFont="1" applyFill="1" applyBorder="1" applyAlignment="1" applyProtection="1">
      <alignment horizontal="center" vertical="center"/>
      <protection locked="0" hidden="1"/>
    </xf>
    <xf numFmtId="2" fontId="4" fillId="3" borderId="22" xfId="0" applyNumberFormat="1" applyFont="1" applyFill="1" applyBorder="1" applyAlignment="1" applyProtection="1">
      <alignment horizontal="center" vertical="center"/>
      <protection locked="0" hidden="1"/>
    </xf>
    <xf numFmtId="0" fontId="3" fillId="0" borderId="11" xfId="0" applyFont="1" applyBorder="1" applyAlignment="1" applyProtection="1">
      <alignment horizontal="left" vertical="center" wrapText="1"/>
      <protection hidden="1"/>
    </xf>
    <xf numFmtId="0" fontId="2" fillId="0" borderId="12" xfId="1" applyBorder="1" applyAlignment="1" applyProtection="1">
      <alignment horizontal="center" vertical="center"/>
      <protection hidden="1"/>
    </xf>
    <xf numFmtId="49" fontId="2" fillId="0" borderId="12" xfId="1" applyNumberFormat="1" applyBorder="1" applyAlignment="1" applyProtection="1">
      <alignment horizontal="center" vertical="center"/>
      <protection hidden="1"/>
    </xf>
    <xf numFmtId="49" fontId="2" fillId="0" borderId="20" xfId="1" applyNumberFormat="1" applyBorder="1" applyAlignment="1" applyProtection="1">
      <alignment horizontal="center" vertical="center"/>
      <protection hidden="1"/>
    </xf>
    <xf numFmtId="0" fontId="3" fillId="0" borderId="25" xfId="0" applyFont="1" applyBorder="1" applyAlignment="1" applyProtection="1">
      <alignment horizontal="left" vertical="center" wrapText="1"/>
      <protection hidden="1"/>
    </xf>
    <xf numFmtId="1" fontId="0" fillId="3" borderId="1" xfId="0" applyNumberFormat="1" applyFill="1" applyBorder="1" applyAlignment="1" applyProtection="1">
      <alignment horizontal="left" vertical="top"/>
      <protection locked="0" hidden="1"/>
    </xf>
    <xf numFmtId="0" fontId="3" fillId="0" borderId="31" xfId="0" applyFont="1" applyBorder="1" applyAlignment="1" applyProtection="1">
      <alignment horizontal="left" vertical="center" wrapText="1"/>
      <protection hidden="1"/>
    </xf>
    <xf numFmtId="0" fontId="4" fillId="6" borderId="36"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wrapText="1"/>
      <protection hidden="1"/>
    </xf>
    <xf numFmtId="0" fontId="4" fillId="0" borderId="37" xfId="0" applyFont="1" applyBorder="1" applyAlignment="1" applyProtection="1">
      <alignment horizontal="left" vertical="center"/>
      <protection hidden="1"/>
    </xf>
    <xf numFmtId="0" fontId="3" fillId="0" borderId="7" xfId="0" applyFont="1" applyBorder="1" applyAlignment="1" applyProtection="1">
      <alignment horizontal="left" vertical="center"/>
      <protection hidden="1"/>
    </xf>
    <xf numFmtId="0" fontId="3" fillId="0" borderId="30" xfId="0" applyFont="1" applyBorder="1" applyAlignment="1" applyProtection="1">
      <alignment horizontal="left" vertical="center" wrapText="1"/>
      <protection hidden="1"/>
    </xf>
    <xf numFmtId="0" fontId="0" fillId="10" borderId="1" xfId="0" applyFill="1" applyBorder="1" applyAlignment="1" applyProtection="1">
      <alignment horizontal="left" wrapText="1"/>
      <protection hidden="1"/>
    </xf>
    <xf numFmtId="0" fontId="17" fillId="3" borderId="45" xfId="0" applyFont="1" applyFill="1" applyBorder="1" applyAlignment="1" applyProtection="1">
      <alignment horizontal="left" wrapText="1"/>
      <protection locked="0"/>
    </xf>
    <xf numFmtId="0" fontId="17" fillId="3" borderId="46" xfId="0" applyFont="1" applyFill="1" applyBorder="1" applyAlignment="1" applyProtection="1">
      <alignment horizontal="left" wrapText="1"/>
      <protection locked="0"/>
    </xf>
    <xf numFmtId="1" fontId="0" fillId="10" borderId="9" xfId="0" applyNumberFormat="1" applyFill="1" applyBorder="1" applyAlignment="1" applyProtection="1">
      <alignment horizontal="left" wrapText="1"/>
      <protection hidden="1"/>
    </xf>
    <xf numFmtId="1" fontId="0" fillId="10" borderId="55" xfId="0" applyNumberFormat="1" applyFill="1" applyBorder="1" applyAlignment="1" applyProtection="1">
      <alignment horizontal="left" wrapText="1"/>
      <protection hidden="1"/>
    </xf>
    <xf numFmtId="0" fontId="0" fillId="0" borderId="11" xfId="0" applyBorder="1" applyAlignment="1" applyProtection="1">
      <alignment horizontal="left" vertical="center"/>
      <protection hidden="1"/>
    </xf>
    <xf numFmtId="0" fontId="0" fillId="0" borderId="13" xfId="0" applyBorder="1" applyAlignment="1" applyProtection="1">
      <alignment horizontal="left" vertical="center"/>
      <protection hidden="1"/>
    </xf>
    <xf numFmtId="164" fontId="2" fillId="0" borderId="12" xfId="1" applyNumberFormat="1" applyBorder="1" applyAlignment="1" applyProtection="1">
      <alignment horizontal="center" vertical="center" wrapText="1"/>
      <protection hidden="1"/>
    </xf>
    <xf numFmtId="164" fontId="2" fillId="0" borderId="14" xfId="1" applyNumberFormat="1" applyBorder="1" applyAlignment="1" applyProtection="1">
      <alignment horizontal="center" vertical="center" wrapText="1"/>
      <protection hidden="1"/>
    </xf>
    <xf numFmtId="0" fontId="0" fillId="3" borderId="7" xfId="0" applyFill="1" applyBorder="1" applyAlignment="1" applyProtection="1">
      <alignment horizontal="left" vertical="top" wrapText="1"/>
      <protection hidden="1"/>
    </xf>
    <xf numFmtId="0" fontId="0" fillId="3" borderId="38" xfId="0" applyFill="1" applyBorder="1" applyAlignment="1" applyProtection="1">
      <alignment horizontal="left" vertical="top" wrapText="1"/>
      <protection hidden="1"/>
    </xf>
    <xf numFmtId="1" fontId="0" fillId="3" borderId="53" xfId="0" applyNumberFormat="1" applyFill="1" applyBorder="1" applyAlignment="1" applyProtection="1">
      <alignment horizontal="left"/>
      <protection locked="0"/>
    </xf>
    <xf numFmtId="1" fontId="0" fillId="3" borderId="45" xfId="0" applyNumberFormat="1" applyFill="1" applyBorder="1" applyAlignment="1" applyProtection="1">
      <alignment horizontal="left"/>
      <protection locked="0"/>
    </xf>
    <xf numFmtId="1" fontId="0" fillId="3" borderId="49" xfId="0" applyNumberFormat="1" applyFill="1" applyBorder="1" applyAlignment="1" applyProtection="1">
      <alignment horizontal="left"/>
      <protection locked="0"/>
    </xf>
    <xf numFmtId="1" fontId="0" fillId="3" borderId="46" xfId="0" applyNumberFormat="1" applyFill="1" applyBorder="1" applyAlignment="1" applyProtection="1">
      <alignment horizontal="left"/>
      <protection locked="0"/>
    </xf>
    <xf numFmtId="0" fontId="5" fillId="0" borderId="37" xfId="0" applyFont="1" applyBorder="1" applyAlignment="1" applyProtection="1">
      <alignment horizontal="left" vertical="center"/>
      <protection hidden="1"/>
    </xf>
    <xf numFmtId="0" fontId="5" fillId="0" borderId="51" xfId="0" applyFont="1" applyBorder="1" applyAlignment="1" applyProtection="1">
      <alignment horizontal="left" vertical="center"/>
      <protection hidden="1"/>
    </xf>
    <xf numFmtId="0" fontId="5" fillId="0" borderId="19" xfId="0" applyFont="1" applyBorder="1" applyAlignment="1" applyProtection="1">
      <alignment horizontal="left" vertical="center"/>
      <protection hidden="1"/>
    </xf>
    <xf numFmtId="0" fontId="5" fillId="0" borderId="69" xfId="0" applyFont="1" applyBorder="1" applyAlignment="1" applyProtection="1">
      <alignment horizontal="left" vertical="center"/>
      <protection hidden="1"/>
    </xf>
    <xf numFmtId="0" fontId="3" fillId="0" borderId="16" xfId="0" applyFont="1" applyBorder="1" applyAlignment="1" applyProtection="1">
      <alignment horizontal="left" vertical="center"/>
      <protection hidden="1"/>
    </xf>
    <xf numFmtId="0" fontId="3" fillId="0" borderId="13" xfId="0" applyFont="1" applyBorder="1" applyAlignment="1" applyProtection="1">
      <alignment horizontal="left" vertical="center"/>
      <protection hidden="1"/>
    </xf>
    <xf numFmtId="49" fontId="2" fillId="0" borderId="10" xfId="1" applyNumberFormat="1" applyBorder="1" applyAlignment="1" applyProtection="1">
      <alignment horizontal="center" vertical="center"/>
      <protection hidden="1"/>
    </xf>
    <xf numFmtId="49" fontId="2" fillId="0" borderId="14" xfId="1" applyNumberFormat="1" applyBorder="1" applyAlignment="1" applyProtection="1">
      <alignment horizontal="center" vertical="center"/>
      <protection hidden="1"/>
    </xf>
    <xf numFmtId="2" fontId="0" fillId="10" borderId="11" xfId="0" applyNumberFormat="1" applyFill="1" applyBorder="1" applyAlignment="1">
      <alignment horizontal="left"/>
    </xf>
    <xf numFmtId="2" fontId="0" fillId="10" borderId="1" xfId="0" applyNumberFormat="1" applyFill="1" applyBorder="1" applyAlignment="1">
      <alignment horizontal="left"/>
    </xf>
    <xf numFmtId="0" fontId="3" fillId="0" borderId="5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38" xfId="0" applyFont="1" applyBorder="1" applyAlignment="1" applyProtection="1">
      <alignment horizontal="left" vertical="center" wrapText="1"/>
      <protection hidden="1"/>
    </xf>
    <xf numFmtId="1" fontId="0" fillId="3" borderId="11" xfId="0" applyNumberFormat="1" applyFill="1" applyBorder="1" applyAlignment="1" applyProtection="1">
      <alignment horizontal="left"/>
      <protection locked="0"/>
    </xf>
    <xf numFmtId="1" fontId="0" fillId="3" borderId="13" xfId="0" applyNumberFormat="1" applyFill="1" applyBorder="1" applyAlignment="1" applyProtection="1">
      <alignment horizontal="left"/>
      <protection locked="0"/>
    </xf>
    <xf numFmtId="1" fontId="0" fillId="3" borderId="2" xfId="0" applyNumberFormat="1" applyFill="1" applyBorder="1" applyAlignment="1" applyProtection="1">
      <alignment horizontal="left"/>
      <protection locked="0"/>
    </xf>
    <xf numFmtId="0" fontId="3" fillId="0" borderId="37" xfId="0" applyFont="1" applyBorder="1" applyAlignment="1" applyProtection="1">
      <alignment horizontal="left" vertical="center"/>
      <protection hidden="1"/>
    </xf>
    <xf numFmtId="0" fontId="3" fillId="0" borderId="40" xfId="0" applyFont="1" applyBorder="1" applyAlignment="1" applyProtection="1">
      <alignment horizontal="left" vertical="center"/>
      <protection hidden="1"/>
    </xf>
    <xf numFmtId="0" fontId="16" fillId="0" borderId="0" xfId="0" applyFont="1" applyAlignment="1">
      <alignment horizontal="center" vertical="center"/>
    </xf>
    <xf numFmtId="0" fontId="0" fillId="3" borderId="15" xfId="0" applyFill="1" applyBorder="1" applyAlignment="1" applyProtection="1">
      <alignment horizontal="left" vertical="top" wrapText="1"/>
      <protection hidden="1"/>
    </xf>
    <xf numFmtId="0" fontId="0" fillId="3" borderId="42" xfId="0" applyFill="1" applyBorder="1" applyAlignment="1" applyProtection="1">
      <alignment horizontal="left" vertical="top" wrapText="1"/>
      <protection hidden="1"/>
    </xf>
    <xf numFmtId="0" fontId="0" fillId="0" borderId="71" xfId="0" applyFill="1" applyBorder="1" applyAlignment="1" applyProtection="1">
      <alignment horizontal="left" vertical="top" wrapText="1"/>
      <protection hidden="1"/>
    </xf>
    <xf numFmtId="0" fontId="0" fillId="0" borderId="0" xfId="0" applyFill="1" applyBorder="1" applyAlignment="1" applyProtection="1">
      <alignment horizontal="left" vertical="top" wrapText="1"/>
      <protection hidden="1"/>
    </xf>
  </cellXfs>
  <cellStyles count="3">
    <cellStyle name="Hyperlink" xfId="1" builtinId="8"/>
    <cellStyle name="Procent" xfId="2" builtinId="5"/>
    <cellStyle name="Standaard" xfId="0" builtinId="0"/>
  </cellStyles>
  <dxfs count="14">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1"/>
      </font>
    </dxf>
    <dxf>
      <font>
        <color theme="1"/>
      </font>
    </dxf>
    <dxf>
      <font>
        <color theme="1"/>
      </font>
    </dxf>
    <dxf>
      <font>
        <color rgb="FF9C0006"/>
      </font>
      <fill>
        <patternFill>
          <bgColor rgb="FFFFC7CE"/>
        </patternFill>
      </fill>
    </dxf>
    <dxf>
      <font>
        <color theme="1"/>
      </font>
      <fill>
        <patternFill>
          <bgColor theme="9" tint="0.59996337778862885"/>
        </patternFill>
      </fill>
    </dxf>
    <dxf>
      <fill>
        <patternFill>
          <bgColor theme="9" tint="0.79998168889431442"/>
        </patternFill>
      </fill>
    </dxf>
    <dxf>
      <font>
        <color theme="1"/>
      </font>
      <fill>
        <patternFill>
          <bgColor theme="9" tint="0.59996337778862885"/>
        </patternFill>
      </fill>
    </dxf>
    <dxf>
      <font>
        <color theme="1"/>
      </font>
      <fill>
        <patternFill>
          <bgColor theme="9" tint="0.59996337778862885"/>
        </patternFill>
      </fill>
    </dxf>
    <dxf>
      <font>
        <color theme="1"/>
      </font>
      <fill>
        <patternFill>
          <bgColor theme="9" tint="0.59996337778862885"/>
        </patternFill>
      </fill>
    </dxf>
    <dxf>
      <fill>
        <patternFill>
          <bgColor theme="9" tint="0.79998168889431442"/>
        </patternFill>
      </fill>
    </dxf>
    <dxf>
      <font>
        <color rgb="FF9C0006"/>
      </font>
      <fill>
        <patternFill>
          <bgColor rgb="FFFFC7CE"/>
        </patternFill>
      </fill>
    </dxf>
    <dxf>
      <fill>
        <patternFill>
          <bgColor rgb="FF92D050"/>
        </patternFill>
      </fill>
    </dxf>
  </dxfs>
  <tableStyles count="0" defaultTableStyle="TableStyleMedium2" defaultPivotStyle="PivotStyleLight16"/>
  <colors>
    <mruColors>
      <color rgb="FFEF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16934</xdr:colOff>
      <xdr:row>18</xdr:row>
      <xdr:rowOff>135467</xdr:rowOff>
    </xdr:from>
    <xdr:to>
      <xdr:col>6</xdr:col>
      <xdr:colOff>187036</xdr:colOff>
      <xdr:row>21</xdr:row>
      <xdr:rowOff>27709</xdr:rowOff>
    </xdr:to>
    <xdr:cxnSp macro="">
      <xdr:nvCxnSpPr>
        <xdr:cNvPr id="2" name="Rechte verbindingslijn met pijl 1">
          <a:extLst>
            <a:ext uri="{FF2B5EF4-FFF2-40B4-BE49-F238E27FC236}">
              <a16:creationId xmlns:a16="http://schemas.microsoft.com/office/drawing/2014/main" id="{42C3E549-C2C2-40DF-BDF3-085F8B148186}"/>
            </a:ext>
          </a:extLst>
        </xdr:cNvPr>
        <xdr:cNvCxnSpPr/>
      </xdr:nvCxnSpPr>
      <xdr:spPr>
        <a:xfrm flipH="1" flipV="1">
          <a:off x="5863552" y="4790594"/>
          <a:ext cx="3024139" cy="474133"/>
        </a:xfrm>
        <a:prstGeom prst="straightConnector1">
          <a:avLst/>
        </a:prstGeom>
        <a:ln>
          <a:solidFill>
            <a:srgbClr val="00B05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0</xdr:colOff>
      <xdr:row>22</xdr:row>
      <xdr:rowOff>0</xdr:rowOff>
    </xdr:from>
    <xdr:to>
      <xdr:col>7</xdr:col>
      <xdr:colOff>6927</xdr:colOff>
      <xdr:row>23</xdr:row>
      <xdr:rowOff>118533</xdr:rowOff>
    </xdr:to>
    <xdr:cxnSp macro="">
      <xdr:nvCxnSpPr>
        <xdr:cNvPr id="5" name="Rechte verbindingslijn met pijl 4">
          <a:extLst>
            <a:ext uri="{FF2B5EF4-FFF2-40B4-BE49-F238E27FC236}">
              <a16:creationId xmlns:a16="http://schemas.microsoft.com/office/drawing/2014/main" id="{447C9CB6-DE09-4186-A0C9-14D3927224D9}"/>
            </a:ext>
          </a:extLst>
        </xdr:cNvPr>
        <xdr:cNvCxnSpPr/>
      </xdr:nvCxnSpPr>
      <xdr:spPr>
        <a:xfrm flipH="1">
          <a:off x="8700655" y="5430982"/>
          <a:ext cx="200890" cy="312496"/>
        </a:xfrm>
        <a:prstGeom prst="straightConnector1">
          <a:avLst/>
        </a:prstGeom>
        <a:ln>
          <a:solidFill>
            <a:srgbClr val="00B05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1413934</xdr:colOff>
      <xdr:row>27</xdr:row>
      <xdr:rowOff>220133</xdr:rowOff>
    </xdr:from>
    <xdr:to>
      <xdr:col>6</xdr:col>
      <xdr:colOff>186267</xdr:colOff>
      <xdr:row>29</xdr:row>
      <xdr:rowOff>33866</xdr:rowOff>
    </xdr:to>
    <xdr:cxnSp macro="">
      <xdr:nvCxnSpPr>
        <xdr:cNvPr id="13" name="Rechte verbindingslijn met pijl 12">
          <a:extLst>
            <a:ext uri="{FF2B5EF4-FFF2-40B4-BE49-F238E27FC236}">
              <a16:creationId xmlns:a16="http://schemas.microsoft.com/office/drawing/2014/main" id="{449A1B0D-1A33-46B6-8F08-ED51647255E2}"/>
            </a:ext>
          </a:extLst>
        </xdr:cNvPr>
        <xdr:cNvCxnSpPr/>
      </xdr:nvCxnSpPr>
      <xdr:spPr>
        <a:xfrm flipH="1">
          <a:off x="5825067" y="6773333"/>
          <a:ext cx="3039533" cy="279400"/>
        </a:xfrm>
        <a:prstGeom prst="straightConnector1">
          <a:avLst/>
        </a:prstGeom>
        <a:ln>
          <a:solidFill>
            <a:srgbClr val="00B05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25400</xdr:colOff>
      <xdr:row>40</xdr:row>
      <xdr:rowOff>169334</xdr:rowOff>
    </xdr:from>
    <xdr:to>
      <xdr:col>7</xdr:col>
      <xdr:colOff>135466</xdr:colOff>
      <xdr:row>44</xdr:row>
      <xdr:rowOff>177800</xdr:rowOff>
    </xdr:to>
    <xdr:cxnSp macro="">
      <xdr:nvCxnSpPr>
        <xdr:cNvPr id="25" name="Rechte verbindingslijn met pijl 24">
          <a:extLst>
            <a:ext uri="{FF2B5EF4-FFF2-40B4-BE49-F238E27FC236}">
              <a16:creationId xmlns:a16="http://schemas.microsoft.com/office/drawing/2014/main" id="{04718F00-6330-1F3B-E5B9-79D666FCE66A}"/>
            </a:ext>
          </a:extLst>
        </xdr:cNvPr>
        <xdr:cNvCxnSpPr/>
      </xdr:nvCxnSpPr>
      <xdr:spPr>
        <a:xfrm flipH="1" flipV="1">
          <a:off x="8703733" y="9643534"/>
          <a:ext cx="304800" cy="795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62</xdr:row>
      <xdr:rowOff>0</xdr:rowOff>
    </xdr:from>
    <xdr:to>
      <xdr:col>7</xdr:col>
      <xdr:colOff>207819</xdr:colOff>
      <xdr:row>63</xdr:row>
      <xdr:rowOff>173182</xdr:rowOff>
    </xdr:to>
    <xdr:cxnSp macro="">
      <xdr:nvCxnSpPr>
        <xdr:cNvPr id="7" name="Rechte verbindingslijn met pijl 6">
          <a:extLst>
            <a:ext uri="{FF2B5EF4-FFF2-40B4-BE49-F238E27FC236}">
              <a16:creationId xmlns:a16="http://schemas.microsoft.com/office/drawing/2014/main" id="{905D9860-7343-4CA2-BBB4-F004E1AE4D34}"/>
            </a:ext>
          </a:extLst>
        </xdr:cNvPr>
        <xdr:cNvCxnSpPr/>
      </xdr:nvCxnSpPr>
      <xdr:spPr>
        <a:xfrm flipH="1" flipV="1">
          <a:off x="8737023" y="15040841"/>
          <a:ext cx="363682" cy="3550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13854</xdr:colOff>
      <xdr:row>51</xdr:row>
      <xdr:rowOff>13855</xdr:rowOff>
    </xdr:from>
    <xdr:to>
      <xdr:col>7</xdr:col>
      <xdr:colOff>103909</xdr:colOff>
      <xdr:row>51</xdr:row>
      <xdr:rowOff>450273</xdr:rowOff>
    </xdr:to>
    <xdr:cxnSp macro="">
      <xdr:nvCxnSpPr>
        <xdr:cNvPr id="9" name="Rechte verbindingslijn met pijl 8">
          <a:extLst>
            <a:ext uri="{FF2B5EF4-FFF2-40B4-BE49-F238E27FC236}">
              <a16:creationId xmlns:a16="http://schemas.microsoft.com/office/drawing/2014/main" id="{EBCFD5B6-A616-D9E9-FB8A-20B968ECB76B}"/>
            </a:ext>
          </a:extLst>
        </xdr:cNvPr>
        <xdr:cNvCxnSpPr/>
      </xdr:nvCxnSpPr>
      <xdr:spPr>
        <a:xfrm flipH="1">
          <a:off x="8714509" y="12164291"/>
          <a:ext cx="284018" cy="436418"/>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9</xdr:col>
      <xdr:colOff>419100</xdr:colOff>
      <xdr:row>36</xdr:row>
      <xdr:rowOff>9525</xdr:rowOff>
    </xdr:to>
    <xdr:pic>
      <xdr:nvPicPr>
        <xdr:cNvPr id="5" name="Afbeelding 4">
          <a:extLst>
            <a:ext uri="{FF2B5EF4-FFF2-40B4-BE49-F238E27FC236}">
              <a16:creationId xmlns:a16="http://schemas.microsoft.com/office/drawing/2014/main" id="{B1EDD9FD-142D-45CF-88F6-EF8DD00589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0"/>
          <a:ext cx="5905500" cy="30575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ob.nl/cao-en-salaris/middelbaar-beroepsonderwij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ob.nl/assets/Downloads/Cao-Middelbaar-beroepsonderwijs-2025-2026.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aob.nl/cao-en-salaris/middelbaar-beroeps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9EB3-BFFB-4F7F-A69F-4BB6282D5C65}">
  <sheetPr codeName="Blad2">
    <pageSetUpPr fitToPage="1"/>
  </sheetPr>
  <dimension ref="A1:L71"/>
  <sheetViews>
    <sheetView showGridLines="0" tabSelected="1" zoomScale="110" zoomScaleNormal="110" workbookViewId="0">
      <pane ySplit="4" topLeftCell="A5" activePane="bottomLeft" state="frozen"/>
      <selection pane="bottomLeft" activeCell="B3" sqref="B3"/>
    </sheetView>
  </sheetViews>
  <sheetFormatPr defaultColWidth="9.109375" defaultRowHeight="14.4" x14ac:dyDescent="0.3"/>
  <cols>
    <col min="1" max="1" width="2.77734375" customWidth="1"/>
    <col min="2" max="2" width="20.77734375" style="1" customWidth="1"/>
    <col min="3" max="3" width="40.77734375" customWidth="1"/>
    <col min="4" max="4" width="20.77734375" style="4" customWidth="1"/>
    <col min="5" max="6" width="20.77734375" customWidth="1"/>
    <col min="7" max="7" width="2.77734375" customWidth="1"/>
    <col min="8" max="8" width="30.77734375" customWidth="1"/>
    <col min="9" max="9" width="15.77734375" customWidth="1"/>
    <col min="10" max="10" width="30" bestFit="1" customWidth="1"/>
    <col min="11" max="11" width="20.33203125" customWidth="1"/>
    <col min="12" max="12" width="8.5546875" customWidth="1"/>
    <col min="13" max="13" width="14" customWidth="1"/>
  </cols>
  <sheetData>
    <row r="1" spans="1:12" s="7" customFormat="1" ht="34.5" customHeight="1" x14ac:dyDescent="0.5">
      <c r="A1" s="27"/>
      <c r="B1" s="64" t="s">
        <v>150</v>
      </c>
      <c r="C1" s="27"/>
      <c r="D1" s="29"/>
      <c r="E1" s="29"/>
      <c r="F1" s="29"/>
      <c r="G1" s="27"/>
      <c r="H1" s="27"/>
      <c r="I1" s="27"/>
    </row>
    <row r="2" spans="1:12" s="7" customFormat="1" ht="8.4" customHeight="1" thickBot="1" x14ac:dyDescent="0.5">
      <c r="A2" s="27"/>
      <c r="B2" s="28"/>
      <c r="C2" s="27"/>
      <c r="D2" s="29"/>
      <c r="E2" s="29"/>
      <c r="F2" s="29"/>
      <c r="G2" s="29"/>
      <c r="H2" s="73">
        <f>G2/$E$25</f>
        <v>0</v>
      </c>
      <c r="I2" s="27"/>
    </row>
    <row r="3" spans="1:12" s="7" customFormat="1" ht="28.2" customHeight="1" thickBot="1" x14ac:dyDescent="0.5">
      <c r="A3" s="27"/>
      <c r="B3" s="28"/>
      <c r="C3" s="71" t="s">
        <v>55</v>
      </c>
      <c r="D3" s="235" t="s">
        <v>103</v>
      </c>
      <c r="E3" s="236"/>
      <c r="F3" s="237"/>
      <c r="G3" s="30"/>
      <c r="H3" s="222" t="s">
        <v>106</v>
      </c>
      <c r="I3" s="223"/>
    </row>
    <row r="4" spans="1:12" s="7" customFormat="1" ht="14.4" customHeight="1" thickBot="1" x14ac:dyDescent="0.4">
      <c r="A4" s="27"/>
      <c r="B4" s="150" t="s">
        <v>82</v>
      </c>
      <c r="C4" s="151" t="s">
        <v>83</v>
      </c>
      <c r="D4" s="152" t="s">
        <v>132</v>
      </c>
      <c r="E4" s="153" t="s">
        <v>74</v>
      </c>
      <c r="F4" s="153" t="s">
        <v>73</v>
      </c>
      <c r="G4" s="31"/>
      <c r="H4" s="86" t="s">
        <v>43</v>
      </c>
      <c r="I4" s="87" t="s">
        <v>69</v>
      </c>
    </row>
    <row r="5" spans="1:12" s="7" customFormat="1" ht="15" customHeight="1" x14ac:dyDescent="0.35">
      <c r="A5" s="27"/>
      <c r="B5" s="146" t="s">
        <v>70</v>
      </c>
      <c r="C5" s="147" t="s">
        <v>92</v>
      </c>
      <c r="D5" s="148">
        <v>1</v>
      </c>
      <c r="E5" s="149">
        <f>F5/$E$25</f>
        <v>41.475000000000001</v>
      </c>
      <c r="F5" s="149">
        <f>$D$5*Gegevens!$A$19</f>
        <v>1659</v>
      </c>
      <c r="G5" s="60"/>
      <c r="H5" s="154" t="s">
        <v>7</v>
      </c>
      <c r="I5" s="128" t="s">
        <v>113</v>
      </c>
    </row>
    <row r="6" spans="1:12" s="7" customFormat="1" ht="45" customHeight="1" x14ac:dyDescent="0.35">
      <c r="A6" s="27"/>
      <c r="B6" s="238" t="s">
        <v>75</v>
      </c>
      <c r="C6" s="32" t="s">
        <v>67</v>
      </c>
      <c r="D6" s="90"/>
      <c r="E6" s="89">
        <f>F6/$E$25</f>
        <v>0</v>
      </c>
      <c r="F6" s="74">
        <f>IF($C$6="ja, 170 klokuur",170*$D$5,IF($C$6="ja, 340 klokuur",340*$D$5,0))</f>
        <v>0</v>
      </c>
      <c r="G6" s="27"/>
      <c r="H6" s="234" t="s">
        <v>138</v>
      </c>
      <c r="I6" s="82" t="s">
        <v>123</v>
      </c>
    </row>
    <row r="7" spans="1:12" s="7" customFormat="1" ht="32.4" customHeight="1" x14ac:dyDescent="0.35">
      <c r="A7" s="27"/>
      <c r="B7" s="238"/>
      <c r="C7" s="69" t="str">
        <f>IF(OR(C6="Ja, 170 klokuur",C6="Ja, 340 klokuur"),"Geen recht op seniorendagen","Kies hiernaast seniorendagen indien van toepassing = klokuren per jaar &gt;&gt;")</f>
        <v>Kies hiernaast seniorendagen indien van toepassing = klokuren per jaar &gt;&gt;</v>
      </c>
      <c r="D7" s="159" t="s">
        <v>97</v>
      </c>
      <c r="E7" s="89">
        <f>IF($D$7="Niet van toepassing",0,F7/$E$25)</f>
        <v>0</v>
      </c>
      <c r="F7" s="155">
        <f>IF($C$7="Geen recht op seniorendagen","Niet van toepassing",
IF(LOWER(D7)="niet van toepassing",0,
IFERROR(
  IF(VALUE(LEFT(D7,SEARCH(" ",D7)-1))=0,"",VALUE(LEFT(D7,SEARCH(" ",D7)-1))),
""
)))</f>
        <v>0</v>
      </c>
      <c r="G7" s="60"/>
      <c r="H7" s="234"/>
      <c r="I7" s="81" t="s">
        <v>124</v>
      </c>
    </row>
    <row r="8" spans="1:12" s="7" customFormat="1" ht="21.6" customHeight="1" x14ac:dyDescent="0.35">
      <c r="A8" s="27"/>
      <c r="B8" s="68" t="s">
        <v>76</v>
      </c>
      <c r="C8" s="33" t="s">
        <v>72</v>
      </c>
      <c r="D8" s="90">
        <f>IF($C$8="nee, ik ben geen startend docent",0,$F$8/1600)</f>
        <v>0</v>
      </c>
      <c r="E8" s="89">
        <f>F8/$E$25</f>
        <v>0</v>
      </c>
      <c r="F8" s="74">
        <f>IF($C$8="Ja, ik ben startend docent",6.25%*($F$5-59),0)</f>
        <v>0</v>
      </c>
      <c r="G8" s="60"/>
      <c r="H8" s="80" t="s">
        <v>90</v>
      </c>
      <c r="I8" s="81" t="s">
        <v>52</v>
      </c>
    </row>
    <row r="9" spans="1:12" s="7" customFormat="1" ht="15" customHeight="1" x14ac:dyDescent="0.35">
      <c r="A9" s="27"/>
      <c r="B9" s="238" t="s">
        <v>142</v>
      </c>
      <c r="C9" s="243" t="s">
        <v>68</v>
      </c>
      <c r="D9" s="233" t="str">
        <f>IF(C8="Ja, ik ben startend docent","Geen Individueel Keuze Budget mogelijk",IF(C9="Werkzaam in het VMBO","Individueel Keuze Budget mogelijk","Geen Individueel Keuze Budget mogelijk"))</f>
        <v>Geen Individueel Keuze Budget mogelijk</v>
      </c>
      <c r="E9" s="228"/>
      <c r="F9" s="229"/>
      <c r="G9" s="27"/>
      <c r="H9" s="172" t="s">
        <v>109</v>
      </c>
      <c r="I9" s="63"/>
    </row>
    <row r="10" spans="1:12" s="7" customFormat="1" ht="28.2" customHeight="1" x14ac:dyDescent="0.35">
      <c r="A10" s="27"/>
      <c r="B10" s="238"/>
      <c r="C10" s="243"/>
      <c r="D10" s="233"/>
      <c r="E10" s="230"/>
      <c r="F10" s="231"/>
      <c r="G10" s="27"/>
      <c r="H10" s="173"/>
      <c r="I10" s="241" t="s">
        <v>117</v>
      </c>
    </row>
    <row r="11" spans="1:12" s="7" customFormat="1" ht="15" customHeight="1" x14ac:dyDescent="0.35">
      <c r="A11" s="27"/>
      <c r="B11" s="238"/>
      <c r="C11" s="70" t="str">
        <f>IF($D$9="Geen individueel Keuze Budget mogelijk","Kies hiernaast voor [niet van toepassing]","Kies de inzet voor IKB &gt;&gt;")</f>
        <v>Kies hiernaast voor [niet van toepassing]</v>
      </c>
      <c r="D11" s="158" t="s">
        <v>97</v>
      </c>
      <c r="E11" s="189"/>
      <c r="F11" s="190"/>
      <c r="G11" s="60"/>
      <c r="H11" s="174"/>
      <c r="I11" s="240"/>
    </row>
    <row r="12" spans="1:12" s="7" customFormat="1" ht="15" customHeight="1" x14ac:dyDescent="0.35">
      <c r="A12" s="27"/>
      <c r="B12" s="238" t="s">
        <v>111</v>
      </c>
      <c r="C12" s="250" t="s">
        <v>139</v>
      </c>
      <c r="D12" s="232" t="s">
        <v>77</v>
      </c>
      <c r="E12" s="61"/>
      <c r="F12" s="62"/>
      <c r="G12" s="27"/>
      <c r="H12" s="238" t="s">
        <v>110</v>
      </c>
      <c r="I12" s="240" t="s">
        <v>120</v>
      </c>
    </row>
    <row r="13" spans="1:12" s="7" customFormat="1" ht="15" customHeight="1" x14ac:dyDescent="0.35">
      <c r="A13" s="27"/>
      <c r="B13" s="238"/>
      <c r="C13" s="250"/>
      <c r="D13" s="232"/>
      <c r="E13" s="76"/>
      <c r="F13" s="77">
        <f>D20*Gegevens!B20</f>
        <v>50</v>
      </c>
      <c r="G13" s="60"/>
      <c r="H13" s="238"/>
      <c r="I13" s="240"/>
    </row>
    <row r="14" spans="1:12" s="7" customFormat="1" ht="15" customHeight="1" x14ac:dyDescent="0.35">
      <c r="A14" s="27"/>
      <c r="B14" s="172" t="s">
        <v>3</v>
      </c>
      <c r="C14" s="251" t="s">
        <v>64</v>
      </c>
      <c r="D14" s="224" t="str">
        <f>IF(C14="Ja, er zijn teamscholingsdagen of studiedagen gepland","Vul het aantal uren in bij compartiment taken","Zie onderdeel teamscholing (CAO)")</f>
        <v>Zie onderdeel teamscholing (CAO)</v>
      </c>
      <c r="E14" s="226"/>
      <c r="F14" s="227"/>
      <c r="G14" s="27"/>
      <c r="H14" s="171" t="s">
        <v>88</v>
      </c>
      <c r="I14" s="239" t="s">
        <v>125</v>
      </c>
    </row>
    <row r="15" spans="1:12" s="7" customFormat="1" ht="15" customHeight="1" x14ac:dyDescent="0.35">
      <c r="A15" s="27"/>
      <c r="B15" s="174"/>
      <c r="C15" s="252"/>
      <c r="D15" s="225"/>
      <c r="E15" s="189"/>
      <c r="F15" s="190"/>
      <c r="G15" s="60"/>
      <c r="H15" s="171"/>
      <c r="I15" s="239"/>
      <c r="L15" s="38"/>
    </row>
    <row r="16" spans="1:12" s="7" customFormat="1" ht="15" customHeight="1" x14ac:dyDescent="0.35">
      <c r="A16" s="27"/>
      <c r="B16" s="173" t="s">
        <v>135</v>
      </c>
      <c r="C16" s="94"/>
      <c r="D16" s="91"/>
      <c r="E16" s="74" t="str">
        <f>IF(F16/$E$25=0,"",F16/$E$25)</f>
        <v/>
      </c>
      <c r="F16" s="74">
        <f>D16*Gegevens!$A$19</f>
        <v>0</v>
      </c>
      <c r="G16" s="27"/>
      <c r="H16" s="66"/>
      <c r="I16" s="67"/>
    </row>
    <row r="17" spans="1:10" s="7" customFormat="1" ht="15" customHeight="1" x14ac:dyDescent="0.35">
      <c r="A17" s="27"/>
      <c r="B17" s="173"/>
      <c r="C17" s="94"/>
      <c r="D17" s="91"/>
      <c r="E17" s="74" t="str">
        <f>IF(F17/$E$25=0,"",F17/$E$25)</f>
        <v/>
      </c>
      <c r="F17" s="74">
        <f>D17*Gegevens!$A$19</f>
        <v>0</v>
      </c>
      <c r="G17" s="27"/>
      <c r="H17" s="66"/>
      <c r="I17" s="67"/>
    </row>
    <row r="18" spans="1:10" s="7" customFormat="1" ht="15" customHeight="1" x14ac:dyDescent="0.35">
      <c r="A18" s="27"/>
      <c r="B18" s="173"/>
      <c r="C18" s="95"/>
      <c r="D18" s="92"/>
      <c r="E18" s="74" t="str">
        <f>IF(F18/$E$25=0,"",F18/$E$25)</f>
        <v/>
      </c>
      <c r="F18" s="74">
        <f>D18*Gegevens!$A$19</f>
        <v>0</v>
      </c>
      <c r="G18" s="27"/>
      <c r="H18" s="27"/>
      <c r="I18" s="27"/>
    </row>
    <row r="19" spans="1:10" s="7" customFormat="1" ht="15" customHeight="1" thickBot="1" x14ac:dyDescent="0.4">
      <c r="A19" s="27"/>
      <c r="B19" s="244"/>
      <c r="C19" s="96"/>
      <c r="D19" s="93"/>
      <c r="E19" s="74" t="str">
        <f>IF(F19/$E$25=0,"",F19/$E$25)</f>
        <v/>
      </c>
      <c r="F19" s="74">
        <f>D19*Gegevens!$A$19</f>
        <v>0</v>
      </c>
      <c r="G19" s="27"/>
      <c r="H19" s="27"/>
      <c r="I19" s="27"/>
    </row>
    <row r="20" spans="1:10" s="7" customFormat="1" ht="15" customHeight="1" thickBot="1" x14ac:dyDescent="0.4">
      <c r="A20" s="27"/>
      <c r="B20" s="34"/>
      <c r="C20" s="162" t="s">
        <v>14</v>
      </c>
      <c r="D20" s="163">
        <f>F20/1659</f>
        <v>1</v>
      </c>
      <c r="E20" s="143">
        <f>$F$20/$E$25</f>
        <v>41.475000000000001</v>
      </c>
      <c r="F20" s="143">
        <f>$F$5-SUM(F6:F8,F16:F19)</f>
        <v>1659</v>
      </c>
      <c r="G20" s="27"/>
      <c r="H20" s="165" t="s">
        <v>136</v>
      </c>
      <c r="I20" s="166"/>
    </row>
    <row r="21" spans="1:10" s="7" customFormat="1" ht="15" customHeight="1" thickBot="1" x14ac:dyDescent="0.4">
      <c r="A21" s="27"/>
      <c r="B21" s="35"/>
      <c r="C21" s="162" t="s">
        <v>12</v>
      </c>
      <c r="D21" s="163">
        <f>$F$21/$F$5</f>
        <v>5.0030138637733576E-2</v>
      </c>
      <c r="E21" s="145">
        <f>$E$46+$E$69</f>
        <v>2.0750000000000002</v>
      </c>
      <c r="F21" s="144">
        <f>$F$46+$F$69</f>
        <v>83</v>
      </c>
      <c r="G21" s="27"/>
      <c r="H21" s="167"/>
      <c r="I21" s="168"/>
    </row>
    <row r="22" spans="1:10" s="7" customFormat="1" ht="15" customHeight="1" thickBot="1" x14ac:dyDescent="0.4">
      <c r="A22" s="27"/>
      <c r="B22" s="35"/>
      <c r="C22" s="161" t="s">
        <v>13</v>
      </c>
      <c r="D22" s="164">
        <f>D20-D21</f>
        <v>0.94996986136226647</v>
      </c>
      <c r="E22" s="145">
        <f>E20-E21</f>
        <v>39.4</v>
      </c>
      <c r="F22" s="144">
        <f>F20-F21</f>
        <v>1576</v>
      </c>
      <c r="G22" s="72"/>
      <c r="H22" s="169"/>
      <c r="I22" s="170"/>
    </row>
    <row r="23" spans="1:10" s="7" customFormat="1" ht="15" customHeight="1" thickBot="1" x14ac:dyDescent="0.4">
      <c r="A23" s="27"/>
      <c r="B23" s="36"/>
      <c r="C23" s="37"/>
      <c r="D23" s="37"/>
      <c r="E23" s="38"/>
      <c r="F23" s="38"/>
      <c r="G23" s="27"/>
      <c r="H23" s="39"/>
      <c r="I23" s="27"/>
    </row>
    <row r="24" spans="1:10" s="7" customFormat="1" ht="15" customHeight="1" x14ac:dyDescent="0.35">
      <c r="A24" s="27"/>
      <c r="B24" s="249" t="s">
        <v>80</v>
      </c>
      <c r="C24" s="247" t="s">
        <v>87</v>
      </c>
      <c r="D24" s="40" t="s">
        <v>2</v>
      </c>
      <c r="E24" s="41" t="s">
        <v>78</v>
      </c>
      <c r="F24" s="42" t="s">
        <v>79</v>
      </c>
      <c r="G24" s="27"/>
      <c r="H24" s="83" t="s">
        <v>89</v>
      </c>
      <c r="I24" s="85" t="s">
        <v>129</v>
      </c>
    </row>
    <row r="25" spans="1:10" s="7" customFormat="1" ht="47.4" customHeight="1" thickBot="1" x14ac:dyDescent="0.4">
      <c r="A25" s="27"/>
      <c r="B25" s="244"/>
      <c r="C25" s="248"/>
      <c r="D25" s="97">
        <v>0.5</v>
      </c>
      <c r="E25" s="98">
        <v>40</v>
      </c>
      <c r="F25" s="99">
        <v>60</v>
      </c>
      <c r="G25" s="60"/>
      <c r="H25" s="75" t="s">
        <v>99</v>
      </c>
      <c r="I25" s="84" t="s">
        <v>100</v>
      </c>
    </row>
    <row r="26" spans="1:10" s="7" customFormat="1" ht="15" customHeight="1" thickBot="1" x14ac:dyDescent="0.4">
      <c r="A26" s="27"/>
      <c r="B26" s="43"/>
      <c r="C26" s="37"/>
      <c r="D26" s="37"/>
      <c r="E26" s="38"/>
      <c r="F26" s="38"/>
      <c r="G26" s="27"/>
      <c r="H26" s="44"/>
      <c r="I26" s="45"/>
      <c r="J26" s="5"/>
    </row>
    <row r="27" spans="1:10" s="5" customFormat="1" ht="25.05" customHeight="1" thickBot="1" x14ac:dyDescent="0.4">
      <c r="A27" s="46"/>
      <c r="B27" s="191" t="s">
        <v>93</v>
      </c>
      <c r="C27" s="245"/>
      <c r="D27" s="245"/>
      <c r="E27" s="245"/>
      <c r="F27" s="246"/>
      <c r="G27" s="46"/>
      <c r="H27" s="175" t="s">
        <v>146</v>
      </c>
      <c r="I27" s="176"/>
      <c r="J27" s="6"/>
    </row>
    <row r="28" spans="1:10" s="6" customFormat="1" ht="21.75" customHeight="1" thickBot="1" x14ac:dyDescent="0.4">
      <c r="A28" s="47"/>
      <c r="B28" s="194" t="s">
        <v>82</v>
      </c>
      <c r="C28" s="212" t="s">
        <v>8</v>
      </c>
      <c r="D28" s="141">
        <f>E28*60/$F$25</f>
        <v>30</v>
      </c>
      <c r="E28" s="139">
        <f>F28/$E$25</f>
        <v>30</v>
      </c>
      <c r="F28" s="140">
        <f>$F$20*1200/1659</f>
        <v>1200</v>
      </c>
      <c r="G28" s="47"/>
      <c r="H28" s="285"/>
      <c r="I28" s="286"/>
      <c r="J28"/>
    </row>
    <row r="29" spans="1:10" ht="15.75" customHeight="1" thickBot="1" x14ac:dyDescent="0.35">
      <c r="A29" s="39"/>
      <c r="B29" s="195"/>
      <c r="C29" s="213"/>
      <c r="D29" s="48" t="s">
        <v>5</v>
      </c>
      <c r="E29" s="49" t="s">
        <v>6</v>
      </c>
      <c r="F29" s="50" t="s">
        <v>4</v>
      </c>
      <c r="G29" s="39"/>
      <c r="H29" s="287"/>
      <c r="I29" s="287"/>
    </row>
    <row r="30" spans="1:10" ht="15" customHeight="1" x14ac:dyDescent="0.3">
      <c r="A30" s="39"/>
      <c r="B30" s="202" t="s">
        <v>94</v>
      </c>
      <c r="C30" s="52" t="s">
        <v>22</v>
      </c>
      <c r="D30" s="100"/>
      <c r="E30" s="101">
        <f>D30*$F$25/60</f>
        <v>0</v>
      </c>
      <c r="F30" s="101">
        <f>E30*$E$25</f>
        <v>0</v>
      </c>
      <c r="G30" s="39"/>
      <c r="H30" s="288"/>
      <c r="I30" s="288"/>
    </row>
    <row r="31" spans="1:10" ht="15" customHeight="1" x14ac:dyDescent="0.3">
      <c r="A31" s="39"/>
      <c r="B31" s="242"/>
      <c r="C31" s="53" t="s">
        <v>21</v>
      </c>
      <c r="D31" s="102" t="str">
        <f>LessenPerPeriode!F18</f>
        <v/>
      </c>
      <c r="E31" s="103" t="str">
        <f>IFERROR($D$31*$F$25/60,"")</f>
        <v/>
      </c>
      <c r="F31" s="104" t="str">
        <f>IFERROR($E$31*$E$25,"")</f>
        <v/>
      </c>
      <c r="G31" s="39"/>
      <c r="H31" s="39"/>
      <c r="I31" s="39"/>
    </row>
    <row r="32" spans="1:10" ht="15" customHeight="1" thickBot="1" x14ac:dyDescent="0.35">
      <c r="A32" s="39"/>
      <c r="B32" s="211"/>
      <c r="C32" s="54" t="s">
        <v>2</v>
      </c>
      <c r="D32" s="105">
        <f>IFERROR($E$32*60/$F$25,"")</f>
        <v>0</v>
      </c>
      <c r="E32" s="106">
        <f>$D$25*SUM(E30:E31)</f>
        <v>0</v>
      </c>
      <c r="F32" s="106">
        <f>$D$25*SUM(F30:F31)</f>
        <v>0</v>
      </c>
      <c r="G32" s="39"/>
      <c r="H32" s="39"/>
      <c r="I32" s="39"/>
    </row>
    <row r="33" spans="1:9" ht="30" customHeight="1" x14ac:dyDescent="0.3">
      <c r="A33" s="39"/>
      <c r="B33" s="51" t="str">
        <f>IF(OR($C$9="Werkzaam in het MBO",$C$8="Ja, ik ben startend docent"),"Individueel Keuze Budget","Individueel Keuze Budget, max 40 ku/jr")</f>
        <v>Individueel Keuze Budget</v>
      </c>
      <c r="C33" s="253" t="str">
        <f>IF($C$8="Ja, ik ben startend docent",
    "IKB is niet van toepassing",
    IF($C$9="Werkzaam in het VMBO",
        IF($D$11="Onderwijstijd","IKB, inzet voor onderwijstijd is automatisch gevuld",
        IF($D$11="Taken","IKB, je hebt gekozen voor taken",
        IF($D$11="Anders","IKB, je hebt gekozen voor een andere bijdrage in bijvoorbeeld geld of anderszins",
        "IKB, je hebt hier niet voor gekozen"))),
    "IKB is niet van toepassing")
)</f>
        <v>IKB is niet van toepassing</v>
      </c>
      <c r="D33" s="254"/>
      <c r="E33" s="122" t="str">
        <f>IFERROR(F33/$E$25,"")</f>
        <v/>
      </c>
      <c r="F33" s="123" t="str">
        <f>IF(AND($C$8="Nee, ik ben geen startend docent",$D$11="Onderwijstijd",$C$9="Werkzaam in het VMBO"),$D$20*Gegevens!$B$21,"")</f>
        <v/>
      </c>
      <c r="G33" s="39"/>
      <c r="H33" s="129" t="s">
        <v>144</v>
      </c>
      <c r="I33" s="130" t="s">
        <v>117</v>
      </c>
    </row>
    <row r="34" spans="1:9" ht="30" customHeight="1" x14ac:dyDescent="0.3">
      <c r="A34" s="39"/>
      <c r="B34" s="181" t="s">
        <v>84</v>
      </c>
      <c r="C34" s="218" t="str">
        <f>IF($D$12="Onderwijstijd","PB, inzet voor onderwijstijd is automatisch ingevuld",IF(D12="Beiden","PB, Verdeel de uren over onderwijstijd (hier) en taakuren","PB, is ingezet voor taakuren"))</f>
        <v>PB, Verdeel de uren over onderwijstijd (hier) en taakuren</v>
      </c>
      <c r="D34" s="219"/>
      <c r="E34" s="142" t="str">
        <f>IF($D$12="Onderwijstijd",($D$20*Gegevens!$B$20/$E$25),IF($C$34="PB, Verdeel de uren over onderwijstijd (hier) en taakuren","Vul hieronder aantal klokuur per week  in",""))</f>
        <v>Vul hieronder aantal klokuur per week  in</v>
      </c>
      <c r="F34" s="107" t="str">
        <f>IFERROR(IF(E34="vul hieronder aantal klokuur per week in","",E34*$E$25),"")</f>
        <v/>
      </c>
      <c r="G34" s="39"/>
      <c r="H34" s="255" t="s">
        <v>145</v>
      </c>
      <c r="I34" s="257" t="s">
        <v>120</v>
      </c>
    </row>
    <row r="35" spans="1:9" ht="15" thickBot="1" x14ac:dyDescent="0.35">
      <c r="A35" s="39"/>
      <c r="B35" s="211"/>
      <c r="C35" s="220" t="str">
        <f>IF($D$12="Beiden",TEXT("Nog te verdelen: "&amp;($F$13-($F$58+$F$35))/$E$25,0)&amp;" klokuur per week","")</f>
        <v>Nog te verdelen: 1,25 klokuur per week</v>
      </c>
      <c r="D35" s="221"/>
      <c r="E35" s="108"/>
      <c r="F35" s="88">
        <f>IF($D$12="Beiden", MIN(E35*$E$25, $F$13 - $F$58), 0)</f>
        <v>0</v>
      </c>
      <c r="G35" s="79"/>
      <c r="H35" s="256"/>
      <c r="I35" s="258"/>
    </row>
    <row r="36" spans="1:9" x14ac:dyDescent="0.3">
      <c r="A36" s="39"/>
      <c r="B36" s="214" t="s">
        <v>95</v>
      </c>
      <c r="C36" s="263"/>
      <c r="D36" s="264"/>
      <c r="E36" s="109"/>
      <c r="F36" s="110">
        <f>E36*$E$25</f>
        <v>0</v>
      </c>
      <c r="G36" s="39"/>
      <c r="H36" s="39"/>
      <c r="I36" s="39"/>
    </row>
    <row r="37" spans="1:9" x14ac:dyDescent="0.3">
      <c r="A37" s="39"/>
      <c r="B37" s="214"/>
      <c r="C37" s="216"/>
      <c r="D37" s="217"/>
      <c r="E37" s="9"/>
      <c r="F37" s="111">
        <f>E37*$E$25</f>
        <v>0</v>
      </c>
      <c r="G37" s="39"/>
      <c r="H37" s="39"/>
      <c r="I37" s="39"/>
    </row>
    <row r="38" spans="1:9" ht="14.4" customHeight="1" x14ac:dyDescent="0.3">
      <c r="A38" s="39"/>
      <c r="B38" s="214"/>
      <c r="C38" s="216"/>
      <c r="D38" s="217"/>
      <c r="E38" s="9"/>
      <c r="F38" s="111">
        <f>E38*$E$25</f>
        <v>0</v>
      </c>
      <c r="G38" s="39"/>
      <c r="H38" s="39"/>
      <c r="I38" s="39"/>
    </row>
    <row r="39" spans="1:9" x14ac:dyDescent="0.3">
      <c r="A39" s="39"/>
      <c r="B39" s="214"/>
      <c r="C39" s="216"/>
      <c r="D39" s="217"/>
      <c r="E39" s="9"/>
      <c r="F39" s="111">
        <f t="shared" ref="F39:F45" si="0">E39*$E$25</f>
        <v>0</v>
      </c>
      <c r="G39" s="39"/>
      <c r="H39" s="39"/>
      <c r="I39" s="39"/>
    </row>
    <row r="40" spans="1:9" x14ac:dyDescent="0.3">
      <c r="A40" s="39"/>
      <c r="B40" s="214"/>
      <c r="C40" s="216"/>
      <c r="D40" s="217"/>
      <c r="E40" s="9"/>
      <c r="F40" s="111">
        <f t="shared" si="0"/>
        <v>0</v>
      </c>
      <c r="G40" s="39"/>
      <c r="H40" s="39"/>
      <c r="I40" s="39"/>
    </row>
    <row r="41" spans="1:9" x14ac:dyDescent="0.3">
      <c r="A41" s="39"/>
      <c r="B41" s="214"/>
      <c r="C41" s="216"/>
      <c r="D41" s="217"/>
      <c r="E41" s="9"/>
      <c r="F41" s="111">
        <f t="shared" si="0"/>
        <v>0</v>
      </c>
      <c r="G41" s="39"/>
      <c r="H41" s="39"/>
      <c r="I41" s="39"/>
    </row>
    <row r="42" spans="1:9" x14ac:dyDescent="0.3">
      <c r="A42" s="39"/>
      <c r="B42" s="214"/>
      <c r="C42" s="216"/>
      <c r="D42" s="217"/>
      <c r="E42" s="9"/>
      <c r="F42" s="111">
        <f t="shared" si="0"/>
        <v>0</v>
      </c>
      <c r="G42" s="39"/>
      <c r="H42" s="39"/>
      <c r="I42" s="39"/>
    </row>
    <row r="43" spans="1:9" x14ac:dyDescent="0.3">
      <c r="A43" s="39"/>
      <c r="B43" s="214"/>
      <c r="C43" s="216"/>
      <c r="D43" s="217"/>
      <c r="E43" s="9"/>
      <c r="F43" s="111">
        <f t="shared" si="0"/>
        <v>0</v>
      </c>
      <c r="G43" s="39"/>
      <c r="H43" s="39"/>
      <c r="I43" s="39"/>
    </row>
    <row r="44" spans="1:9" ht="18" customHeight="1" x14ac:dyDescent="0.3">
      <c r="A44" s="39"/>
      <c r="B44" s="214"/>
      <c r="C44" s="216" t="s">
        <v>107</v>
      </c>
      <c r="D44" s="217"/>
      <c r="E44" s="9"/>
      <c r="F44" s="111">
        <f t="shared" si="0"/>
        <v>0</v>
      </c>
      <c r="G44" s="39"/>
      <c r="H44" s="39"/>
      <c r="I44" s="39"/>
    </row>
    <row r="45" spans="1:9" ht="15" thickBot="1" x14ac:dyDescent="0.35">
      <c r="A45" s="39"/>
      <c r="B45" s="215"/>
      <c r="C45" s="261" t="s">
        <v>108</v>
      </c>
      <c r="D45" s="262"/>
      <c r="E45" s="112"/>
      <c r="F45" s="111">
        <f t="shared" si="0"/>
        <v>0</v>
      </c>
      <c r="G45" s="39"/>
      <c r="H45" s="39"/>
      <c r="I45" s="39"/>
    </row>
    <row r="46" spans="1:9" ht="15" customHeight="1" thickBot="1" x14ac:dyDescent="0.4">
      <c r="A46" s="39"/>
      <c r="B46" s="127"/>
      <c r="C46" s="125" t="s">
        <v>149</v>
      </c>
      <c r="D46" s="160">
        <f>($E$46*$E$25)/1600</f>
        <v>0</v>
      </c>
      <c r="E46" s="55">
        <f>F46/$E$25</f>
        <v>0</v>
      </c>
      <c r="F46" s="56">
        <f>SUM(F30:F45)</f>
        <v>0</v>
      </c>
      <c r="G46" s="39"/>
      <c r="H46" s="177" t="s">
        <v>96</v>
      </c>
      <c r="I46" s="178"/>
    </row>
    <row r="47" spans="1:9" ht="18.600000000000001" thickBot="1" x14ac:dyDescent="0.4">
      <c r="A47" s="39"/>
      <c r="B47" s="126"/>
      <c r="C47" s="125" t="str">
        <f>IF(D47&gt;0,"Nog over voor onderwijstijd is:","Onderwijstijd is overschreden met:")</f>
        <v>Nog over voor onderwijstijd is:</v>
      </c>
      <c r="D47" s="160">
        <f>$E$47*$E$25/1600</f>
        <v>0.75</v>
      </c>
      <c r="E47" s="55">
        <f>F47/$E$25</f>
        <v>30</v>
      </c>
      <c r="F47" s="56">
        <f>F28-F46</f>
        <v>1200</v>
      </c>
      <c r="G47" s="39"/>
      <c r="H47" s="179"/>
      <c r="I47" s="180"/>
    </row>
    <row r="48" spans="1:9" x14ac:dyDescent="0.3">
      <c r="A48" s="39"/>
      <c r="B48" s="39"/>
      <c r="C48" s="39"/>
      <c r="D48" s="39"/>
      <c r="E48" s="39"/>
      <c r="F48" s="39"/>
      <c r="G48" s="39"/>
      <c r="H48" s="39"/>
      <c r="I48" s="39"/>
    </row>
    <row r="49" spans="1:9" ht="15" thickBot="1" x14ac:dyDescent="0.35">
      <c r="A49" s="39"/>
      <c r="B49" s="39"/>
      <c r="C49" s="39"/>
      <c r="D49" s="39"/>
      <c r="E49" s="39"/>
      <c r="F49" s="39"/>
      <c r="G49" s="39"/>
      <c r="H49" s="39"/>
      <c r="I49" s="39"/>
    </row>
    <row r="50" spans="1:9" ht="25.05" customHeight="1" thickBot="1" x14ac:dyDescent="0.35">
      <c r="A50" s="39"/>
      <c r="B50" s="191" t="s">
        <v>147</v>
      </c>
      <c r="C50" s="192"/>
      <c r="D50" s="192"/>
      <c r="E50" s="192"/>
      <c r="F50" s="193"/>
      <c r="G50" s="39"/>
      <c r="H50" s="175" t="s">
        <v>146</v>
      </c>
      <c r="I50" s="176"/>
    </row>
    <row r="51" spans="1:9" ht="18" customHeight="1" thickBot="1" x14ac:dyDescent="0.35">
      <c r="A51" s="39"/>
      <c r="B51" s="194" t="s">
        <v>82</v>
      </c>
      <c r="C51" s="196" t="s">
        <v>9</v>
      </c>
      <c r="D51" s="197"/>
      <c r="E51" s="139">
        <f>F51/$E$25</f>
        <v>11.475</v>
      </c>
      <c r="F51" s="138">
        <f>$F$20*459/1659</f>
        <v>459</v>
      </c>
      <c r="G51" s="39"/>
      <c r="H51" s="259"/>
      <c r="I51" s="260"/>
    </row>
    <row r="52" spans="1:9" ht="43.8" customHeight="1" thickBot="1" x14ac:dyDescent="0.35">
      <c r="A52" s="39"/>
      <c r="B52" s="195"/>
      <c r="C52" s="198"/>
      <c r="D52" s="199"/>
      <c r="E52" s="48" t="s">
        <v>6</v>
      </c>
      <c r="F52" s="50" t="s">
        <v>4</v>
      </c>
      <c r="G52" s="39"/>
      <c r="H52" s="39"/>
      <c r="I52" s="39"/>
    </row>
    <row r="53" spans="1:9" ht="14.4" customHeight="1" x14ac:dyDescent="0.3">
      <c r="A53" s="39"/>
      <c r="B53" s="202" t="s">
        <v>137</v>
      </c>
      <c r="C53" s="200" t="str">
        <f>IF($C$9="Werkzaam in het VMBO","Scholing en professionalisering 75 klokuur","Scholing en professionalisering 59 klokuur")</f>
        <v>Scholing en professionalisering 59 klokuur</v>
      </c>
      <c r="D53" s="201"/>
      <c r="E53" s="118">
        <f>F53/$E$25</f>
        <v>1.4750000000000001</v>
      </c>
      <c r="F53" s="119">
        <f>IF($C$9="Werkzaam in het VMBO", $D$20*75,$D$20*59)</f>
        <v>59</v>
      </c>
      <c r="G53" s="131"/>
      <c r="H53" s="269" t="s">
        <v>91</v>
      </c>
      <c r="I53" s="271" t="s">
        <v>131</v>
      </c>
    </row>
    <row r="54" spans="1:9" ht="14.4" customHeight="1" x14ac:dyDescent="0.3">
      <c r="A54" s="39"/>
      <c r="B54" s="182"/>
      <c r="C54" s="273" t="str">
        <f>IF(C14="Nee, er zijn geen teamscholingsdagen of studiedagen gepland","Minimale teamscholing volgens CAO","Specificeer op regel -eigen teamscholing hieronder- het aantal uur")</f>
        <v>Minimale teamscholing volgens CAO</v>
      </c>
      <c r="D54" s="274"/>
      <c r="E54" s="120">
        <f>IF(F54/40=0,"",F54/40)</f>
        <v>0.6</v>
      </c>
      <c r="F54" s="121">
        <f>IF($C$14="Nee, er zijn geen teamscholingsdagen of studiedagen gepland",$D$20*24,0)</f>
        <v>24</v>
      </c>
      <c r="G54" s="39"/>
      <c r="H54" s="171"/>
      <c r="I54" s="240"/>
    </row>
    <row r="55" spans="1:9" ht="30" customHeight="1" thickBot="1" x14ac:dyDescent="0.35">
      <c r="A55" s="39"/>
      <c r="B55" s="59" t="str">
        <f>IF($C$14="Ja, er zijn teamscholingsdagen of studiedagen gepland","Teamscholing of studie","Zie vooringevulde uren bij teamscholing")</f>
        <v>Zie vooringevulde uren bij teamscholing</v>
      </c>
      <c r="C55" s="207" t="str">
        <f>IF($C$14="Ja, er zijn teamscholingsdagen of studiedagen gepland",
"Eigen teamscholing, specificeer hier het aantal uur teamscholing &gt;&gt;",
IF($C$54="Minimale teamscholing volgens CAO",
"Eventueel scholing in opdracht werkgever hiernaast zetten &gt;&gt;",
"Regel hiernaast vrij laten voor optioneel teamscholing &gt;&gt;"))</f>
        <v>Eventueel scholing in opdracht werkgever hiernaast zetten &gt;&gt;</v>
      </c>
      <c r="D55" s="208"/>
      <c r="E55" s="117">
        <v>0</v>
      </c>
      <c r="F55" s="107">
        <f>IFERROR(IF(C55="Regel hiernaast vrij laten voor optioneel teamscholing &gt;&gt;","",E55*$E$25),"")</f>
        <v>0</v>
      </c>
      <c r="G55" s="39"/>
      <c r="H55" s="270"/>
      <c r="I55" s="272"/>
    </row>
    <row r="56" spans="1:9" ht="30" customHeight="1" x14ac:dyDescent="0.3">
      <c r="A56" s="39"/>
      <c r="B56" s="57" t="str">
        <f>IF(OR($C$9="Werkzaam in het MBO",$C$8="Ja, ik ben startend docent"),"Individueel Keuze Budget","Individueel Keuze Budget, max 40 ku/jr")</f>
        <v>Individueel Keuze Budget</v>
      </c>
      <c r="C56" s="205" t="str">
        <f>IF($C$8="Ja, ik ben startend docent",
   "IKB is niet van toepassing",
   IF($C$9="Werkzaam in het VMBO",
      IF($D$11="Onderwijstijd","IKB, is ingezet voor onderwijstijd",
         IF($D$11="Taken","IKB, je hebt gekozen voor taken",
IF($D$11="Anders","IKB, je hebt gekozen voor een andere bijdrage zoals geld of anderzins","IKB, je hebt hier niet voor gekozen"))),
   "IKB is niet van toepassing"))</f>
        <v>IKB is niet van toepassing</v>
      </c>
      <c r="D56" s="206"/>
      <c r="E56" s="122" t="str">
        <f>IFERROR(F56/$E$25,"")</f>
        <v/>
      </c>
      <c r="F56" s="123" t="str">
        <f>IF(AND($C$8="nee, ik ben geen startend docent",$D$11="Taken",$C$9="Werkzaam in het VMBO"),$D$20*Gegevens!$B$21,"")</f>
        <v/>
      </c>
      <c r="G56" s="39"/>
      <c r="H56" s="129" t="s">
        <v>144</v>
      </c>
      <c r="I56" s="132" t="s">
        <v>117</v>
      </c>
    </row>
    <row r="57" spans="1:9" ht="30" customHeight="1" x14ac:dyDescent="0.3">
      <c r="A57" s="39"/>
      <c r="B57" s="181" t="s">
        <v>84</v>
      </c>
      <c r="C57" s="183" t="str">
        <f>IF($D$12="Taken","PB, inzet voor taakuren is automatisch ingevuld",IF(D12="Beiden","PB, Verdeel de uren over taakuren (hier) en onderwijstijd","PB, is ingezet voor onderwijstijd"))</f>
        <v>PB, Verdeel de uren over taakuren (hier) en onderwijstijd</v>
      </c>
      <c r="D57" s="184"/>
      <c r="E57" s="124" t="str">
        <f>IF($D$12="Taken",($D$20*Gegevens!$B$20/$E$25),IF($C$57="PB, Verdeel de uren over taakuren (hier) en onderwijstijd","Vul hieronder aantal klokuur per week  in",""))</f>
        <v>Vul hieronder aantal klokuur per week  in</v>
      </c>
      <c r="F57" s="107" t="str">
        <f>IFERROR(IF(E57="vul hieronder aantal klokuur per week in","",E57*$E$25),"")</f>
        <v/>
      </c>
      <c r="G57" s="39"/>
      <c r="H57" s="255" t="s">
        <v>145</v>
      </c>
      <c r="I57" s="257" t="s">
        <v>120</v>
      </c>
    </row>
    <row r="58" spans="1:9" ht="15" customHeight="1" thickBot="1" x14ac:dyDescent="0.35">
      <c r="A58" s="39"/>
      <c r="B58" s="182"/>
      <c r="C58" s="185" t="str">
        <f>C35</f>
        <v>Nog te verdelen: 1,25 klokuur per week</v>
      </c>
      <c r="D58" s="186"/>
      <c r="E58" s="133"/>
      <c r="F58" s="88">
        <f>IF($D$12="Beiden", MIN(E58*$E$25, $F$13), 0)</f>
        <v>0</v>
      </c>
      <c r="G58" s="79"/>
      <c r="H58" s="256"/>
      <c r="I58" s="258"/>
    </row>
    <row r="59" spans="1:9" ht="15" customHeight="1" x14ac:dyDescent="0.3">
      <c r="A59" s="39"/>
      <c r="B59" s="203" t="s">
        <v>85</v>
      </c>
      <c r="C59" s="209"/>
      <c r="D59" s="210"/>
      <c r="E59" s="113"/>
      <c r="F59" s="114">
        <f>E59*$E$25</f>
        <v>0</v>
      </c>
      <c r="G59" s="39"/>
      <c r="H59" s="78"/>
      <c r="I59" s="78"/>
    </row>
    <row r="60" spans="1:9" ht="15" customHeight="1" x14ac:dyDescent="0.3">
      <c r="A60" s="39"/>
      <c r="B60" s="203"/>
      <c r="C60" s="187"/>
      <c r="D60" s="188"/>
      <c r="E60" s="9"/>
      <c r="F60" s="111">
        <f t="shared" ref="F60:F68" si="1">E60*$E$25</f>
        <v>0</v>
      </c>
      <c r="G60" s="39"/>
      <c r="H60" s="39"/>
      <c r="I60" s="39"/>
    </row>
    <row r="61" spans="1:9" x14ac:dyDescent="0.3">
      <c r="A61" s="39"/>
      <c r="B61" s="203"/>
      <c r="C61" s="187"/>
      <c r="D61" s="188"/>
      <c r="E61" s="9"/>
      <c r="F61" s="111">
        <f t="shared" si="1"/>
        <v>0</v>
      </c>
      <c r="G61" s="39"/>
      <c r="H61" s="39"/>
      <c r="I61" s="39"/>
    </row>
    <row r="62" spans="1:9" x14ac:dyDescent="0.3">
      <c r="A62" s="39"/>
      <c r="B62" s="203"/>
      <c r="C62" s="187"/>
      <c r="D62" s="188"/>
      <c r="E62" s="9"/>
      <c r="F62" s="111">
        <f t="shared" si="1"/>
        <v>0</v>
      </c>
      <c r="G62" s="39"/>
      <c r="H62" s="39"/>
      <c r="I62" s="39"/>
    </row>
    <row r="63" spans="1:9" x14ac:dyDescent="0.3">
      <c r="A63" s="39"/>
      <c r="B63" s="203"/>
      <c r="C63" s="187"/>
      <c r="D63" s="188"/>
      <c r="E63" s="9"/>
      <c r="F63" s="111">
        <f t="shared" si="1"/>
        <v>0</v>
      </c>
      <c r="G63" s="39"/>
      <c r="H63" s="39"/>
      <c r="I63" s="39"/>
    </row>
    <row r="64" spans="1:9" ht="15" thickBot="1" x14ac:dyDescent="0.35">
      <c r="A64" s="39"/>
      <c r="B64" s="203"/>
      <c r="C64" s="187"/>
      <c r="D64" s="188"/>
      <c r="E64" s="9"/>
      <c r="F64" s="111">
        <f t="shared" si="1"/>
        <v>0</v>
      </c>
      <c r="G64" s="39"/>
      <c r="H64" s="39"/>
      <c r="I64" s="39"/>
    </row>
    <row r="65" spans="1:9" x14ac:dyDescent="0.3">
      <c r="A65" s="39"/>
      <c r="B65" s="203"/>
      <c r="C65" s="187"/>
      <c r="D65" s="188"/>
      <c r="E65" s="9"/>
      <c r="F65" s="111">
        <f t="shared" si="1"/>
        <v>0</v>
      </c>
      <c r="G65" s="39"/>
      <c r="H65" s="177" t="s">
        <v>96</v>
      </c>
      <c r="I65" s="178"/>
    </row>
    <row r="66" spans="1:9" ht="15" thickBot="1" x14ac:dyDescent="0.35">
      <c r="A66" s="39"/>
      <c r="B66" s="203"/>
      <c r="C66" s="187"/>
      <c r="D66" s="188"/>
      <c r="E66" s="9"/>
      <c r="F66" s="111">
        <f t="shared" si="1"/>
        <v>0</v>
      </c>
      <c r="G66" s="39"/>
      <c r="H66" s="179"/>
      <c r="I66" s="180"/>
    </row>
    <row r="67" spans="1:9" ht="15" thickBot="1" x14ac:dyDescent="0.35">
      <c r="A67" s="39"/>
      <c r="B67" s="203"/>
      <c r="C67" s="279" t="s">
        <v>98</v>
      </c>
      <c r="D67" s="232"/>
      <c r="E67" s="9"/>
      <c r="F67" s="111">
        <f t="shared" si="1"/>
        <v>0</v>
      </c>
      <c r="G67" s="39"/>
    </row>
    <row r="68" spans="1:9" ht="15" customHeight="1" thickBot="1" x14ac:dyDescent="0.35">
      <c r="A68" s="39"/>
      <c r="B68" s="204"/>
      <c r="C68" s="280" t="s">
        <v>86</v>
      </c>
      <c r="D68" s="281"/>
      <c r="E68" s="115"/>
      <c r="F68" s="116">
        <f t="shared" si="1"/>
        <v>0</v>
      </c>
      <c r="G68" s="39"/>
      <c r="H68" s="282" t="s">
        <v>101</v>
      </c>
      <c r="I68" s="283"/>
    </row>
    <row r="69" spans="1:9" ht="18" x14ac:dyDescent="0.35">
      <c r="A69" s="39"/>
      <c r="B69" s="58"/>
      <c r="C69" s="265" t="s">
        <v>10</v>
      </c>
      <c r="D69" s="266"/>
      <c r="E69" s="134">
        <f>F69/$E$25</f>
        <v>2.0750000000000002</v>
      </c>
      <c r="F69" s="136">
        <f>SUM(F53:F68)</f>
        <v>83</v>
      </c>
      <c r="G69" s="39"/>
      <c r="H69" s="275" t="s">
        <v>102</v>
      </c>
      <c r="I69" s="276"/>
    </row>
    <row r="70" spans="1:9" ht="18.600000000000001" thickBot="1" x14ac:dyDescent="0.4">
      <c r="A70" s="39"/>
      <c r="B70" s="58"/>
      <c r="C70" s="267" t="str">
        <f>IF(E70&lt;0,"Compartiment taken is overschreden met:","Nog over voor compartiment taken is:")</f>
        <v>Nog over voor compartiment taken is:</v>
      </c>
      <c r="D70" s="268"/>
      <c r="E70" s="135">
        <f>F70/$E$25</f>
        <v>9.4</v>
      </c>
      <c r="F70" s="137">
        <f>F51-F69</f>
        <v>376</v>
      </c>
      <c r="G70" s="39"/>
      <c r="H70" s="277"/>
      <c r="I70" s="278"/>
    </row>
    <row r="71" spans="1:9" x14ac:dyDescent="0.3">
      <c r="G71" s="39"/>
    </row>
  </sheetData>
  <sheetProtection algorithmName="SHA-512" hashValue="V9qXNfD2tzTcheXEPX0PBnmIkDG8vjWFW4Fi8KDQJEdjDOGux10oFA0oFHoLoBBR+T2K3fERgeF1aP8zp4hIdA==" saltValue="7psdFyxMaLFIO3H5roeatw==" spinCount="100000" sheet="1" objects="1" scenarios="1"/>
  <dataConsolidate/>
  <mergeCells count="82">
    <mergeCell ref="C44:D44"/>
    <mergeCell ref="C38:D38"/>
    <mergeCell ref="C69:D69"/>
    <mergeCell ref="C70:D70"/>
    <mergeCell ref="H53:H55"/>
    <mergeCell ref="H57:H58"/>
    <mergeCell ref="C65:D65"/>
    <mergeCell ref="C54:D54"/>
    <mergeCell ref="H69:I70"/>
    <mergeCell ref="C62:D62"/>
    <mergeCell ref="C63:D63"/>
    <mergeCell ref="C67:D67"/>
    <mergeCell ref="C68:D68"/>
    <mergeCell ref="H68:I68"/>
    <mergeCell ref="C66:D66"/>
    <mergeCell ref="C9:C10"/>
    <mergeCell ref="B6:B7"/>
    <mergeCell ref="B16:B19"/>
    <mergeCell ref="B27:F27"/>
    <mergeCell ref="C24:C25"/>
    <mergeCell ref="B9:B11"/>
    <mergeCell ref="B24:B25"/>
    <mergeCell ref="B12:B13"/>
    <mergeCell ref="C12:C13"/>
    <mergeCell ref="B14:B15"/>
    <mergeCell ref="C14:C15"/>
    <mergeCell ref="H3:I3"/>
    <mergeCell ref="D14:D15"/>
    <mergeCell ref="E14:F15"/>
    <mergeCell ref="E9:F10"/>
    <mergeCell ref="D12:D13"/>
    <mergeCell ref="D9:D10"/>
    <mergeCell ref="H6:H7"/>
    <mergeCell ref="D3:F3"/>
    <mergeCell ref="H12:H13"/>
    <mergeCell ref="I14:I15"/>
    <mergeCell ref="I12:I13"/>
    <mergeCell ref="I10:I11"/>
    <mergeCell ref="B34:B35"/>
    <mergeCell ref="C28:C29"/>
    <mergeCell ref="B36:B45"/>
    <mergeCell ref="C39:D39"/>
    <mergeCell ref="C40:D40"/>
    <mergeCell ref="C41:D41"/>
    <mergeCell ref="C42:D42"/>
    <mergeCell ref="C34:D34"/>
    <mergeCell ref="C35:D35"/>
    <mergeCell ref="B28:B29"/>
    <mergeCell ref="B30:B32"/>
    <mergeCell ref="C33:D33"/>
    <mergeCell ref="C45:D45"/>
    <mergeCell ref="C36:D36"/>
    <mergeCell ref="C37:D37"/>
    <mergeCell ref="C43:D43"/>
    <mergeCell ref="B57:B58"/>
    <mergeCell ref="C57:D57"/>
    <mergeCell ref="C58:D58"/>
    <mergeCell ref="C64:D64"/>
    <mergeCell ref="E11:F11"/>
    <mergeCell ref="B50:F50"/>
    <mergeCell ref="B51:B52"/>
    <mergeCell ref="C51:D52"/>
    <mergeCell ref="C53:D53"/>
    <mergeCell ref="B53:B54"/>
    <mergeCell ref="B59:B68"/>
    <mergeCell ref="C56:D56"/>
    <mergeCell ref="C55:D55"/>
    <mergeCell ref="C59:D59"/>
    <mergeCell ref="C60:D60"/>
    <mergeCell ref="C61:D61"/>
    <mergeCell ref="H20:I22"/>
    <mergeCell ref="H14:H15"/>
    <mergeCell ref="H9:H11"/>
    <mergeCell ref="H27:I28"/>
    <mergeCell ref="H65:I66"/>
    <mergeCell ref="H46:I47"/>
    <mergeCell ref="H29:I30"/>
    <mergeCell ref="H34:H35"/>
    <mergeCell ref="I34:I35"/>
    <mergeCell ref="H50:I51"/>
    <mergeCell ref="I53:I55"/>
    <mergeCell ref="I57:I58"/>
  </mergeCells>
  <conditionalFormatting sqref="C6">
    <cfRule type="expression" dxfId="13" priority="30">
      <formula>C6 ="Nee"</formula>
    </cfRule>
  </conditionalFormatting>
  <conditionalFormatting sqref="C14 E21:F26 D46:F47">
    <cfRule type="cellIs" dxfId="12" priority="40" operator="lessThan">
      <formula>0</formula>
    </cfRule>
  </conditionalFormatting>
  <conditionalFormatting sqref="E34">
    <cfRule type="expression" dxfId="11" priority="5">
      <formula>$D$12="Beiden"</formula>
    </cfRule>
  </conditionalFormatting>
  <conditionalFormatting sqref="E35">
    <cfRule type="expression" dxfId="10" priority="8">
      <formula>$D$12="Beiden"</formula>
    </cfRule>
  </conditionalFormatting>
  <conditionalFormatting sqref="E55">
    <cfRule type="expression" dxfId="9" priority="2">
      <formula>$C$55="Eventueel scholing in opdracht werkgever hiernaast zetten &gt;&gt;"</formula>
    </cfRule>
    <cfRule type="expression" dxfId="8" priority="12">
      <formula>$C$55="Eigen teamscholing, specificeer hier het aantal uur teamscholing &gt;&gt;"</formula>
    </cfRule>
  </conditionalFormatting>
  <conditionalFormatting sqref="E57">
    <cfRule type="expression" dxfId="7" priority="13">
      <formula>$D$12="Beiden"</formula>
    </cfRule>
  </conditionalFormatting>
  <conditionalFormatting sqref="E58">
    <cfRule type="expression" dxfId="6" priority="14">
      <formula>$D$12="Beiden"</formula>
    </cfRule>
  </conditionalFormatting>
  <conditionalFormatting sqref="E69:F70">
    <cfRule type="cellIs" dxfId="5" priority="1" operator="lessThan">
      <formula>0</formula>
    </cfRule>
  </conditionalFormatting>
  <conditionalFormatting sqref="F35">
    <cfRule type="expression" dxfId="4" priority="7">
      <formula>$D$12="Beiden"</formula>
    </cfRule>
  </conditionalFormatting>
  <conditionalFormatting sqref="F54">
    <cfRule type="expression" dxfId="3" priority="4">
      <formula>$C$14="Nee, er zijn geen teamscholingsdagen of studiedagen gepland"</formula>
    </cfRule>
  </conditionalFormatting>
  <conditionalFormatting sqref="F58">
    <cfRule type="expression" dxfId="2" priority="6">
      <formula>$D$12="Beiden"</formula>
    </cfRule>
  </conditionalFormatting>
  <conditionalFormatting sqref="I34">
    <cfRule type="containsText" dxfId="1" priority="15" operator="containsText" text="maximu">
      <formula>NOT(ISERROR(SEARCH("maximu",I34)))</formula>
    </cfRule>
  </conditionalFormatting>
  <conditionalFormatting sqref="I57">
    <cfRule type="containsText" dxfId="0" priority="3" operator="containsText" text="maximu">
      <formula>NOT(ISERROR(SEARCH("maximu",I57)))</formula>
    </cfRule>
  </conditionalFormatting>
  <dataValidations xWindow="786" yWindow="591" count="15">
    <dataValidation allowBlank="1" showInputMessage="1" showErrorMessage="1" errorTitle="verkeerde waarde" error="Voer een waarde in tussen de 0 en de 40 uren" promptTitle="ku/wk" prompt="Voer hier het aantal KLOK-uren per week in." sqref="E36:E45 E55 E59:E68" xr:uid="{1FB5BF6E-D772-4E16-B9F6-8468697F7205}"/>
    <dataValidation allowBlank="1" showInputMessage="1" showErrorMessage="1" promptTitle="Verlof of gedetacheerd?" prompt="Vul hier het soort verlof/detachering in en daarnaast voor hoeveel." sqref="C19 C16:C17" xr:uid="{26C6DFDB-412F-4DA6-9DDF-23BC7A6CC997}"/>
    <dataValidation allowBlank="1" showInputMessage="1" showErrorMessage="1" promptTitle="Verlofuren in FTE" prompt="Vul hier in hoeveel verlof je opgenomen hebt in FTE. Als je dit niet weet kun je in het oranje veld hiernaast de klokuren per jaar invullen" sqref="D18:D19" xr:uid="{67A6E7A1-E290-43DA-9654-1609A8E3F09A}"/>
    <dataValidation operator="greaterThanOrEqual" allowBlank="1" showInputMessage="1" showErrorMessage="1" promptTitle="VZNZ" prompt="Vul percentage voor-en nazorg in, mag niet lager zijn dan 40%_x000a_" sqref="D25" xr:uid="{8123699A-8899-4898-8A88-B4C4452E5290}"/>
    <dataValidation type="whole" operator="lessThan" allowBlank="1" showInputMessage="1" showErrorMessage="1" promptTitle="Lesweken" prompt="Vul hier het aantal lesweken of werkweken in" sqref="E25" xr:uid="{594A52A1-9A1A-4A60-B6D5-3E7A4E221915}">
      <formula1>43</formula1>
    </dataValidation>
    <dataValidation type="whole" operator="greaterThan" allowBlank="1" showInputMessage="1" showErrorMessage="1" promptTitle="Lesduur" prompt="Vul hier het aantal minuten per reguliere les in" sqref="F25" xr:uid="{4557568B-CEBA-4FDC-834C-A1F3F328E550}">
      <formula1>30</formula1>
    </dataValidation>
    <dataValidation allowBlank="1" showInputMessage="1" showErrorMessage="1" promptTitle="Aantal lesuren per wek" prompt="Vul hier het aantal lesuren in per week, als je geen gebruik maakt van het tabblad &quot;LessenPerPeriode&quot;. Of eventueel aanvullende lessen." sqref="D30" xr:uid="{395BCBF7-0E35-4E90-8FA1-D1521FB53996}"/>
    <dataValidation allowBlank="1" showInputMessage="1" showErrorMessage="1" promptTitle="Aantal lesuren per week" prompt="Hier komen de lesuren per week te staan, als je gebruik maakt van het invulschema &quot;LessenPerPeriode&quot;" sqref="D31" xr:uid="{B8A279C0-DF98-4DE6-9187-5F70FE441FD3}"/>
    <dataValidation allowBlank="1" showInputMessage="1" showErrorMessage="1" promptTitle="Individueel Keuze Budget" prompt="Als IKB niet van toepassing is, dan is dat omdat je of in het MBO werkzaam bent of je bent startend docent" sqref="C33" xr:uid="{75295CFB-EDEF-4FE5-984A-514716BBAAC0}"/>
    <dataValidation allowBlank="1" showInputMessage="1" showErrorMessage="1" errorTitle="verkeerde waarde" error="Voer een waarde in tussen de 0 en de 40 uren" promptTitle="ku/wk" prompt="Hier worden autoatisch het aantal KLOK uren ingevuld" sqref="E57" xr:uid="{3D85D7C3-8474-4D19-B55E-B223C56C1690}"/>
    <dataValidation allowBlank="1" showInputMessage="1" showErrorMessage="1" errorTitle="verkeerde waarde" error="Voer een waarde in tussen de 0 en de 40 uren" promptTitle="ku/wk" prompt="Hier worden automatisch het aantal KLOK-uren ingevuld." sqref="E33:E34" xr:uid="{573DF436-D059-4B21-A7B9-39733C5B2100}"/>
    <dataValidation allowBlank="1" showInputMessage="1" showErrorMessage="1" promptTitle="Persoonlijk Budget" prompt="Als je gekozen hebt om het PB in te zetten voor besteding binnen de onderwijstijd wordt het veld hiernaast automatisch gevuld" sqref="C34:C35" xr:uid="{9273A72E-7B00-436E-8DF9-2F725E82E1CB}"/>
    <dataValidation allowBlank="1" showInputMessage="1" showErrorMessage="1" promptTitle="Verlof of gedetacheerd? " prompt="Vul hier het soort verlof/detachering in en daarnaast voor hoeveel." sqref="C18" xr:uid="{CB8BF476-A2CB-4CF4-923F-F8BCB7C33D2E}"/>
    <dataValidation operator="greaterThanOrEqual" allowBlank="1" showInputMessage="1" showErrorMessage="1" errorTitle="verkeerde waarde" error="Voer een waarde in tussen de 0 en de 40 uren" promptTitle="ku/wk" prompt="Voer hier het alleen aantal KLOK-uren per week in, als je zelf een verdeling wil maken tussen onderwijstijd en taakuren." sqref="E58 E35" xr:uid="{358097F3-6B8C-49D1-AAD1-E696AB4F280E}"/>
    <dataValidation allowBlank="1" showInputMessage="1" showErrorMessage="1" promptTitle="ku/jr" prompt="Als de taakuren niet per week zijn in te voeren,kan dat hier per jaar" sqref="F55:F68" xr:uid="{EACE9C84-DFF3-4CA8-A31E-999CA6642E94}"/>
  </dataValidations>
  <hyperlinks>
    <hyperlink ref="C31" location="LessenPerPeriode!A1" display="Uit LessenPerPeriode:" xr:uid="{CC983828-2165-4D77-BC97-30449EA2624A}"/>
    <hyperlink ref="I5" location="Blad2!A2" display="Artikel 3.1" xr:uid="{9A7C28AD-BF64-4062-84B8-D68130083DB4}"/>
    <hyperlink ref="I6" location="'CAO artikelen'!A3" display="Artikel 9.6, 9.7 en verder" xr:uid="{AA6F9F73-6FF6-4D9A-A8C2-4612E5B7664D}"/>
    <hyperlink ref="I7" location="'CAO artikelen'!A3" display="Paragraaf C" xr:uid="{928B1BB8-AD81-4229-B331-2AEA6CA56BFD}"/>
    <hyperlink ref="I8" location="'CAO artikelen'!A4" display="2.3c lid 3 of  4" xr:uid="{8380EADE-997E-4508-959A-A35F018475BD}"/>
    <hyperlink ref="I10:I11" location="'CAO artikelen'!A5" display="Artikel 3.5" xr:uid="{721D7F46-4E4F-4E91-8517-B3C122EE7A90}"/>
    <hyperlink ref="I12:I13" location="'CAO artikelen'!A6" display="Artikel 9.1" xr:uid="{7CA6A8B3-4D7F-4091-87BC-04B02D86E051}"/>
    <hyperlink ref="I14:I15" location="'CAO artikelen'!A7" display="Art. 4.1 lid 8,9 " xr:uid="{033B1AE4-4703-41F9-B2B5-54EE1E79AF96}"/>
    <hyperlink ref="I24" location="'CAO artikelen'!A8" display="Artikel 3.4 lid 6" xr:uid="{EC0EACDC-D495-4B69-8AF9-4488EC9F4C66}"/>
    <hyperlink ref="I33" location="'CAO artikelen'!A1" display="Artikel 3.5" xr:uid="{BB3A3563-AEFD-48E5-B65A-37293D2A55CE}"/>
    <hyperlink ref="I34:I35" location="'CAO artikelen'!A1" display="Artikel 9.1" xr:uid="{CBA93328-836F-4461-A6D8-46350BF5E9A8}"/>
    <hyperlink ref="I53" location="'CAO artikelen'!A9" display="Artikel 4.1 lid 7" xr:uid="{44831136-9C68-4E86-9E63-6B844BDCF933}"/>
    <hyperlink ref="I56" location="'CAO artikelen'!A1" display="Artikel 3.5" xr:uid="{9563177C-7161-4861-94C2-0231E3DEA207}"/>
    <hyperlink ref="I57:I58" location="'CAO artikelen'!A1" display="Artikel 9.1" xr:uid="{0AA4EB58-2705-4333-AFC7-3CA0BB30DC58}"/>
  </hyperlinks>
  <printOptions horizontalCentered="1"/>
  <pageMargins left="0.11811023622047245" right="0.11811023622047245" top="0.74803149606299213" bottom="0.74803149606299213" header="0.31496062992125984" footer="0.31496062992125984"/>
  <pageSetup paperSize="9" scale="55" orientation="portrait" horizontalDpi="4294967293" r:id="rId1"/>
  <headerFooter>
    <oddFooter>&amp;L&amp;14&amp;F&amp;C&amp;14&amp;D</oddFooter>
  </headerFooter>
  <colBreaks count="1" manualBreakCount="1">
    <brk id="6" max="1048575" man="1"/>
  </colBreaks>
  <ignoredErrors>
    <ignoredError sqref="E7" formula="1"/>
  </ignoredErrors>
  <drawing r:id="rId2"/>
  <extLst>
    <ext xmlns:x14="http://schemas.microsoft.com/office/spreadsheetml/2009/9/main" uri="{CCE6A557-97BC-4b89-ADB6-D9C93CAAB3DF}">
      <x14:dataValidations xmlns:xm="http://schemas.microsoft.com/office/excel/2006/main" xWindow="786" yWindow="591" count="7">
        <x14:dataValidation type="list" allowBlank="1" showInputMessage="1" showErrorMessage="1" promptTitle="VMBO of MBO?" prompt="Maak je keuze" xr:uid="{060903EA-7010-4480-9B45-A840F0740126}">
          <x14:formula1>
            <xm:f>Gegevens!$A$15:$A$16</xm:f>
          </x14:formula1>
          <xm:sqref>C9:C10</xm:sqref>
        </x14:dataValidation>
        <x14:dataValidation type="list" allowBlank="1" showInputMessage="1" showErrorMessage="1" error="U kunt dit niet zelf aanpassen" promptTitle="Seniorenuren" prompt="Kies hier wat van toepassing is" xr:uid="{F4C15353-E0E1-4673-9E92-46A58DD00D18}">
          <x14:formula1>
            <xm:f>Gegevens!$A$8:$A$10</xm:f>
          </x14:formula1>
          <xm:sqref>D7</xm:sqref>
        </x14:dataValidation>
        <x14:dataValidation type="list" allowBlank="1" showInputMessage="1" showErrorMessage="1" promptTitle="Seniorenregeling" prompt="Maak je keuze." xr:uid="{F3EC4137-C888-4A56-A4F6-42227B695273}">
          <x14:formula1>
            <xm:f>Gegevens!$A$12:$A$14</xm:f>
          </x14:formula1>
          <xm:sqref>C6</xm:sqref>
        </x14:dataValidation>
        <x14:dataValidation type="list" allowBlank="1" showInputMessage="1" showErrorMessage="1" promptTitle="Startend docent?" prompt="Maak een keuze door op de cel te klikken" xr:uid="{C65C58A6-9D8E-4794-B3A0-F1540A17341E}">
          <x14:formula1>
            <xm:f>Gegevens!$A$17:$A$18</xm:f>
          </x14:formula1>
          <xm:sqref>C8</xm:sqref>
        </x14:dataValidation>
        <x14:dataValidation type="list" allowBlank="1" showInputMessage="1" showErrorMessage="1" promptTitle="Teamscholing" prompt="Kies hier of er geplande teamscholing of studiedagen plaatsvinden. Als er geen temascholingsdagen zijn gepland worden de uren automatisch berekend in compartiment B. Als dit niet het geval is, moeten er zelf uren worden toegevoegd in compartiment B." xr:uid="{97D1A438-AA7B-4637-BAA8-EDABA1260A2E}">
          <x14:formula1>
            <xm:f>Gegevens!$A$6:$A$7</xm:f>
          </x14:formula1>
          <xm:sqref>C14:C15</xm:sqref>
        </x14:dataValidation>
        <x14:dataValidation type="list" allowBlank="1" showInputMessage="1" showErrorMessage="1" promptTitle="Persoonlijk Budget" prompt="Maak een keuze hoe je de uren wil inzetten. Voor Onderwijstijd (contacttijd), Taken of Beiden. Als je hebt gekozen voor Beiden, verdeel dan de uren in compartiment A en B." xr:uid="{A9754202-E1F6-4A1A-A098-FC58C0834C68}">
          <x14:formula1>
            <xm:f>Gegevens!$C$2:$C$4</xm:f>
          </x14:formula1>
          <xm:sqref>D12:D13</xm:sqref>
        </x14:dataValidation>
        <x14:dataValidation type="list" allowBlank="1" showInputMessage="1" errorTitle="Keuzemoment" error="Indien ja dan niet" promptTitle="Individueel Keuze Budget" prompt="Maak een keuze voor Onderwijstijd (contacttijd) of Taken. De uren worden automatisch in het gekozen compartiment gezet. Als je kiest voor Anders, kun je de gekapitaliseerde waarde van de klokuren inzetten voor een bijdrage in kosten naar keuze...." xr:uid="{E48433AE-215A-4C78-A4A1-956B46051E09}">
          <x14:formula1>
            <xm:f>Gegevens!$D$2:$D$5</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3CFB-AFA6-489F-9113-4CBFB2084577}">
  <sheetPr codeName="Blad3"/>
  <dimension ref="A1:I21"/>
  <sheetViews>
    <sheetView zoomScale="120" zoomScaleNormal="120" workbookViewId="0">
      <pane ySplit="4" topLeftCell="A5" activePane="bottomLeft" state="frozen"/>
      <selection pane="bottomLeft" activeCell="E25" sqref="E25"/>
    </sheetView>
  </sheetViews>
  <sheetFormatPr defaultRowHeight="14.4" x14ac:dyDescent="0.3"/>
  <cols>
    <col min="1" max="1" width="9.33203125" customWidth="1"/>
    <col min="2" max="2" width="23.21875" customWidth="1"/>
    <col min="3" max="3" width="11.6640625" style="14" customWidth="1"/>
    <col min="5" max="5" width="18" style="4" customWidth="1"/>
    <col min="6" max="6" width="14.109375" style="4" customWidth="1"/>
  </cols>
  <sheetData>
    <row r="1" spans="1:7" ht="18" x14ac:dyDescent="0.35">
      <c r="A1" s="5" t="s">
        <v>23</v>
      </c>
      <c r="B1" s="5"/>
    </row>
    <row r="2" spans="1:7" x14ac:dyDescent="0.3">
      <c r="A2" t="s">
        <v>24</v>
      </c>
    </row>
    <row r="4" spans="1:7" s="3" customFormat="1" ht="28.8" x14ac:dyDescent="0.3">
      <c r="A4" s="15" t="s">
        <v>42</v>
      </c>
      <c r="B4" s="15" t="s">
        <v>43</v>
      </c>
      <c r="C4" s="15" t="s">
        <v>25</v>
      </c>
      <c r="E4" s="17" t="s">
        <v>26</v>
      </c>
      <c r="F4" s="17" t="s">
        <v>27</v>
      </c>
    </row>
    <row r="5" spans="1:7" x14ac:dyDescent="0.3">
      <c r="A5" s="19">
        <v>1</v>
      </c>
      <c r="B5" s="16" t="s">
        <v>44</v>
      </c>
      <c r="C5" s="16"/>
      <c r="D5" s="2" t="s">
        <v>15</v>
      </c>
      <c r="E5" s="9"/>
      <c r="F5" s="157">
        <f>C5*E5</f>
        <v>0</v>
      </c>
    </row>
    <row r="6" spans="1:7" x14ac:dyDescent="0.3">
      <c r="A6" s="19">
        <v>2</v>
      </c>
      <c r="B6" s="16" t="s">
        <v>45</v>
      </c>
      <c r="C6" s="16"/>
      <c r="D6" s="2" t="s">
        <v>15</v>
      </c>
      <c r="E6" s="9"/>
      <c r="F6" s="157">
        <f t="shared" ref="F6:F14" si="0">C6*E6</f>
        <v>0</v>
      </c>
    </row>
    <row r="7" spans="1:7" x14ac:dyDescent="0.3">
      <c r="A7" s="19">
        <v>3</v>
      </c>
      <c r="B7" s="16" t="s">
        <v>46</v>
      </c>
      <c r="C7" s="16"/>
      <c r="D7" s="2" t="s">
        <v>15</v>
      </c>
      <c r="E7" s="9"/>
      <c r="F7" s="157">
        <f t="shared" si="0"/>
        <v>0</v>
      </c>
    </row>
    <row r="8" spans="1:7" x14ac:dyDescent="0.3">
      <c r="A8" s="19">
        <v>4</v>
      </c>
      <c r="B8" s="16" t="s">
        <v>47</v>
      </c>
      <c r="C8" s="16"/>
      <c r="D8" s="2" t="s">
        <v>15</v>
      </c>
      <c r="E8" s="9"/>
      <c r="F8" s="157">
        <f t="shared" si="0"/>
        <v>0</v>
      </c>
    </row>
    <row r="9" spans="1:7" x14ac:dyDescent="0.3">
      <c r="A9" s="19">
        <v>5</v>
      </c>
      <c r="B9" s="16" t="s">
        <v>48</v>
      </c>
      <c r="C9" s="16"/>
      <c r="D9" s="2" t="s">
        <v>15</v>
      </c>
      <c r="E9" s="9"/>
      <c r="F9" s="157">
        <f t="shared" si="0"/>
        <v>0</v>
      </c>
    </row>
    <row r="10" spans="1:7" x14ac:dyDescent="0.3">
      <c r="A10" s="19">
        <v>6</v>
      </c>
      <c r="B10" s="16" t="s">
        <v>49</v>
      </c>
      <c r="C10" s="16"/>
      <c r="D10" s="2" t="s">
        <v>15</v>
      </c>
      <c r="E10" s="9"/>
      <c r="F10" s="157">
        <f t="shared" si="0"/>
        <v>0</v>
      </c>
    </row>
    <row r="11" spans="1:7" x14ac:dyDescent="0.3">
      <c r="A11" s="19">
        <v>7</v>
      </c>
      <c r="B11" s="16" t="s">
        <v>50</v>
      </c>
      <c r="C11" s="16"/>
      <c r="D11" s="2" t="s">
        <v>15</v>
      </c>
      <c r="E11" s="9"/>
      <c r="F11" s="157">
        <f t="shared" si="0"/>
        <v>0</v>
      </c>
    </row>
    <row r="12" spans="1:7" x14ac:dyDescent="0.3">
      <c r="A12" s="19">
        <v>8</v>
      </c>
      <c r="B12" s="16" t="s">
        <v>51</v>
      </c>
      <c r="C12" s="16"/>
      <c r="D12" s="2" t="s">
        <v>15</v>
      </c>
      <c r="E12" s="9"/>
      <c r="F12" s="157">
        <f t="shared" si="0"/>
        <v>0</v>
      </c>
    </row>
    <row r="13" spans="1:7" x14ac:dyDescent="0.3">
      <c r="A13" s="19">
        <v>9</v>
      </c>
      <c r="B13" s="16" t="s">
        <v>54</v>
      </c>
      <c r="C13" s="16"/>
      <c r="D13" s="2" t="s">
        <v>15</v>
      </c>
      <c r="E13" s="9"/>
      <c r="F13" s="157">
        <f t="shared" si="0"/>
        <v>0</v>
      </c>
    </row>
    <row r="14" spans="1:7" x14ac:dyDescent="0.3">
      <c r="A14" s="19">
        <v>10</v>
      </c>
      <c r="B14" s="16" t="s">
        <v>53</v>
      </c>
      <c r="C14" s="16"/>
      <c r="D14" s="2" t="s">
        <v>15</v>
      </c>
      <c r="E14" s="9"/>
      <c r="F14" s="157">
        <f t="shared" si="0"/>
        <v>0</v>
      </c>
    </row>
    <row r="16" spans="1:7" x14ac:dyDescent="0.3">
      <c r="A16" t="s">
        <v>28</v>
      </c>
      <c r="C16" s="14">
        <f>SUM(C5:C15)</f>
        <v>0</v>
      </c>
      <c r="D16" t="s">
        <v>15</v>
      </c>
      <c r="F16" s="4">
        <f>SUM(F5:F15)</f>
        <v>0</v>
      </c>
      <c r="G16" t="s">
        <v>29</v>
      </c>
    </row>
    <row r="17" spans="4:9" ht="15" thickBot="1" x14ac:dyDescent="0.35"/>
    <row r="18" spans="4:9" ht="15" thickBot="1" x14ac:dyDescent="0.35">
      <c r="D18" t="s">
        <v>30</v>
      </c>
      <c r="F18" s="156" t="str">
        <f>IFERROR(F16/C16,"")</f>
        <v/>
      </c>
      <c r="G18" t="s">
        <v>31</v>
      </c>
    </row>
    <row r="20" spans="4:9" x14ac:dyDescent="0.3">
      <c r="F20" s="18" t="s">
        <v>32</v>
      </c>
      <c r="G20" s="8"/>
      <c r="H20" s="8"/>
      <c r="I20" s="8"/>
    </row>
    <row r="21" spans="4:9" x14ac:dyDescent="0.3">
      <c r="F21" s="4" t="s">
        <v>148</v>
      </c>
    </row>
  </sheetData>
  <sheetProtection algorithmName="SHA-512" hashValue="Zh/s1bep+QJoDYbi685V09SxPUiPP12HXfb+MO4a9HRsi4/CihWNcMCIUt/+kmEldgV2hjFlgQM3fLZU2G0tyg==" saltValue="MAd+oi71yiOdlUjBclKt7w==" spinCount="100000" sheet="1" objects="1" scenarios="1"/>
  <phoneticPr fontId="10" type="noConversion"/>
  <hyperlinks>
    <hyperlink ref="F20:I20" location="'Mijn Inzet'!A1" display="Dit wordt doorgestuurd naar &quot;Mijn Inzet&quot;" xr:uid="{F248DDFF-F820-4412-BF24-E6F03B0ABD5F}"/>
  </hyperlink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492A-83BD-430F-A3B7-A63BD83F5080}">
  <sheetPr codeName="Blad5"/>
  <dimension ref="A1:G19"/>
  <sheetViews>
    <sheetView showGridLines="0" workbookViewId="0">
      <selection activeCell="A2" sqref="A2"/>
    </sheetView>
  </sheetViews>
  <sheetFormatPr defaultRowHeight="14.4" x14ac:dyDescent="0.3"/>
  <cols>
    <col min="3" max="3" width="91.44140625" customWidth="1"/>
  </cols>
  <sheetData>
    <row r="1" spans="1:7" ht="23.4" x14ac:dyDescent="0.3">
      <c r="A1" s="284" t="str">
        <f>'Mijn Inzet'!B1</f>
        <v>Inzetmeter CAO 2025-2026</v>
      </c>
      <c r="B1" s="284"/>
      <c r="C1" s="284"/>
      <c r="D1" s="284"/>
      <c r="E1" s="284"/>
      <c r="F1" s="284"/>
      <c r="G1" s="284"/>
    </row>
    <row r="2" spans="1:7" x14ac:dyDescent="0.3">
      <c r="A2" s="8" t="s">
        <v>104</v>
      </c>
    </row>
    <row r="4" spans="1:7" s="20" customFormat="1" ht="13.8" x14ac:dyDescent="0.3"/>
    <row r="5" spans="1:7" s="22" customFormat="1" ht="15.6" x14ac:dyDescent="0.3">
      <c r="A5" s="24"/>
      <c r="B5" s="23" t="s">
        <v>33</v>
      </c>
    </row>
    <row r="6" spans="1:7" s="20" customFormat="1" ht="13.8" x14ac:dyDescent="0.3">
      <c r="A6" s="21">
        <v>1</v>
      </c>
      <c r="B6" s="20" t="s">
        <v>34</v>
      </c>
    </row>
    <row r="7" spans="1:7" s="20" customFormat="1" ht="13.8" x14ac:dyDescent="0.3">
      <c r="B7" s="20" t="s">
        <v>40</v>
      </c>
    </row>
    <row r="8" spans="1:7" s="20" customFormat="1" ht="13.8" x14ac:dyDescent="0.3">
      <c r="B8" s="20" t="s">
        <v>35</v>
      </c>
    </row>
    <row r="9" spans="1:7" s="20" customFormat="1" ht="13.8" x14ac:dyDescent="0.3"/>
    <row r="10" spans="1:7" s="20" customFormat="1" ht="13.8" x14ac:dyDescent="0.3">
      <c r="A10" s="21">
        <v>2</v>
      </c>
      <c r="B10" s="20" t="s">
        <v>36</v>
      </c>
    </row>
    <row r="11" spans="1:7" s="20" customFormat="1" ht="13.8" x14ac:dyDescent="0.3">
      <c r="B11" s="20" t="s">
        <v>41</v>
      </c>
    </row>
    <row r="12" spans="1:7" s="20" customFormat="1" ht="13.8" x14ac:dyDescent="0.3"/>
    <row r="13" spans="1:7" s="20" customFormat="1" ht="13.8" x14ac:dyDescent="0.3"/>
    <row r="14" spans="1:7" s="20" customFormat="1" ht="13.8" x14ac:dyDescent="0.3"/>
    <row r="15" spans="1:7" s="22" customFormat="1" ht="15.6" x14ac:dyDescent="0.3">
      <c r="B15" s="23" t="s">
        <v>37</v>
      </c>
    </row>
    <row r="16" spans="1:7" s="20" customFormat="1" ht="13.8" x14ac:dyDescent="0.3">
      <c r="B16" s="20" t="s">
        <v>38</v>
      </c>
    </row>
    <row r="17" spans="2:2" s="20" customFormat="1" ht="13.8" x14ac:dyDescent="0.3">
      <c r="B17" s="20" t="s">
        <v>39</v>
      </c>
    </row>
    <row r="18" spans="2:2" s="20" customFormat="1" ht="13.8" x14ac:dyDescent="0.3"/>
    <row r="19" spans="2:2" s="20" customFormat="1" ht="13.8" x14ac:dyDescent="0.3"/>
  </sheetData>
  <sheetProtection algorithmName="SHA-512" hashValue="GFcgD0TCL+2bF8pcKbdInShmkZbjtCapZYCEKFXmaTkA1HEt+CqQ12Rrzrm8Whc9V7BqmaP13opPhuvHVPF7hw==" saltValue="nGk/tJcpa93Bx9nSOGkmCA==" spinCount="100000" sheet="1" objects="1" scenarios="1"/>
  <mergeCells count="1">
    <mergeCell ref="A1:G1"/>
  </mergeCells>
  <hyperlinks>
    <hyperlink ref="A2" r:id="rId1" xr:uid="{6F9978AC-8EB3-4FDE-8010-3DC819E78C1A}"/>
  </hyperlinks>
  <pageMargins left="0.7" right="0.7" top="0.75" bottom="0.75" header="0.3" footer="0.3"/>
  <pageSetup paperSize="9" orientation="portrait"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3E4C2-85E8-4096-AFD8-5144C9B61DA9}">
  <sheetPr codeName="Blad6"/>
  <dimension ref="A1:AI155"/>
  <sheetViews>
    <sheetView showGridLines="0" workbookViewId="0">
      <selection activeCell="F12" sqref="F12"/>
    </sheetView>
  </sheetViews>
  <sheetFormatPr defaultRowHeight="14.4" x14ac:dyDescent="0.3"/>
  <sheetData>
    <row r="1" spans="1:35" x14ac:dyDescent="0.3">
      <c r="A1" s="10" t="s">
        <v>151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x14ac:dyDescent="0.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x14ac:dyDescent="0.3">
      <c r="A3" s="11" t="s">
        <v>16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row>
    <row r="4" spans="1:35" x14ac:dyDescent="0.3">
      <c r="A4" s="10" t="s">
        <v>17</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x14ac:dyDescent="0.3">
      <c r="A5" s="10" t="s">
        <v>56</v>
      </c>
      <c r="B5" s="10"/>
      <c r="C5" s="10"/>
      <c r="D5" s="10"/>
      <c r="E5" s="10"/>
      <c r="F5" s="10"/>
      <c r="G5" s="10"/>
      <c r="H5" s="10"/>
      <c r="I5" s="10"/>
      <c r="J5" s="10"/>
      <c r="K5" s="10"/>
      <c r="L5" s="10"/>
      <c r="M5" s="10"/>
      <c r="N5" s="10"/>
      <c r="O5" s="13"/>
      <c r="P5" s="10"/>
      <c r="Q5" s="10"/>
      <c r="R5" s="10"/>
      <c r="S5" s="10"/>
      <c r="T5" s="10"/>
      <c r="U5" s="10"/>
      <c r="V5" s="10"/>
      <c r="W5" s="10"/>
      <c r="X5" s="10"/>
      <c r="Y5" s="10"/>
      <c r="Z5" s="10"/>
      <c r="AA5" s="10"/>
      <c r="AB5" s="10"/>
      <c r="AC5" s="10"/>
      <c r="AD5" s="10"/>
      <c r="AE5" s="10"/>
      <c r="AF5" s="10"/>
      <c r="AG5" s="10"/>
      <c r="AH5" s="10"/>
      <c r="AI5" s="10"/>
    </row>
    <row r="6" spans="1:35"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x14ac:dyDescent="0.3">
      <c r="A7" s="10" t="s">
        <v>105</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x14ac:dyDescent="0.3">
      <c r="A8" s="10" t="s">
        <v>18</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x14ac:dyDescent="0.3">
      <c r="A9" s="12" t="s">
        <v>57</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x14ac:dyDescent="0.3">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x14ac:dyDescent="0.3">
      <c r="A11" s="10" t="s">
        <v>19</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x14ac:dyDescent="0.3">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x14ac:dyDescent="0.3">
      <c r="A13" s="10" t="s">
        <v>58</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x14ac:dyDescent="0.3">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x14ac:dyDescent="0.3">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x14ac:dyDescent="0.3">
      <c r="A16" s="13"/>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row>
    <row r="20" spans="1:35"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row>
    <row r="21" spans="1:35"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row>
    <row r="22" spans="1:35"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row>
    <row r="23" spans="1:35"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5"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x14ac:dyDescent="0.3">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x14ac:dyDescent="0.3">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1:35"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row>
    <row r="33" spans="1:35"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row>
    <row r="35" spans="1:35"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35"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1:35"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1:35" x14ac:dyDescent="0.3">
      <c r="A38" s="10" t="s">
        <v>20</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row>
    <row r="39" spans="1:35" x14ac:dyDescent="0.3">
      <c r="A39" s="13" t="s">
        <v>59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row>
    <row r="40" spans="1:35"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row>
    <row r="41" spans="1:35"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row>
    <row r="42" spans="1:35" x14ac:dyDescent="0.3">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row>
    <row r="43" spans="1:35" x14ac:dyDescent="0.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row>
    <row r="44" spans="1:35" x14ac:dyDescent="0.3">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row>
    <row r="46" spans="1:35"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row>
    <row r="47" spans="1:35"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row>
    <row r="48" spans="1:35" x14ac:dyDescent="0.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row>
    <row r="49" spans="1:35" x14ac:dyDescent="0.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row>
    <row r="50" spans="1:35"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row r="51" spans="1:35"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35"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row>
    <row r="53" spans="1:35" x14ac:dyDescent="0.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row>
    <row r="54" spans="1:35" x14ac:dyDescent="0.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row>
    <row r="55" spans="1:35" x14ac:dyDescent="0.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row>
    <row r="56" spans="1:35" x14ac:dyDescent="0.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row>
    <row r="57" spans="1:35" x14ac:dyDescent="0.3">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row>
    <row r="58" spans="1:35" x14ac:dyDescent="0.3">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row>
    <row r="59" spans="1:35"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row>
    <row r="60" spans="1:35" x14ac:dyDescent="0.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row>
    <row r="61" spans="1:35" x14ac:dyDescent="0.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row>
    <row r="62" spans="1:35" x14ac:dyDescent="0.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row>
    <row r="63" spans="1:35" x14ac:dyDescent="0.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row>
    <row r="64" spans="1:35"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row>
    <row r="65" spans="1:35"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row>
    <row r="66" spans="1:35"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row>
    <row r="67" spans="1:35" x14ac:dyDescent="0.3">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row>
    <row r="68" spans="1:35" x14ac:dyDescent="0.3">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row>
    <row r="69" spans="1:35" x14ac:dyDescent="0.3">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row>
    <row r="70" spans="1:35"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row>
    <row r="71" spans="1:35"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row>
    <row r="72" spans="1:35"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row>
    <row r="73" spans="1:35" x14ac:dyDescent="0.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row>
    <row r="74" spans="1:35" x14ac:dyDescent="0.3">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row>
    <row r="75" spans="1:35"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row>
    <row r="76" spans="1:35" x14ac:dyDescent="0.3">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row>
    <row r="77" spans="1:35" x14ac:dyDescent="0.3">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row>
    <row r="78" spans="1:35"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row>
    <row r="79" spans="1:35" x14ac:dyDescent="0.3">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row>
    <row r="80" spans="1:35" x14ac:dyDescent="0.3">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row>
    <row r="81" spans="1:35" x14ac:dyDescent="0.3">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row>
    <row r="82" spans="1:35" x14ac:dyDescent="0.3">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row>
    <row r="83" spans="1:35" x14ac:dyDescent="0.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row>
    <row r="84" spans="1:35" x14ac:dyDescent="0.3">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35" x14ac:dyDescent="0.3">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35" x14ac:dyDescent="0.3">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1:35" x14ac:dyDescent="0.3">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35" x14ac:dyDescent="0.3">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35" x14ac:dyDescent="0.3">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35" x14ac:dyDescent="0.3">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row>
    <row r="91" spans="1:35" x14ac:dyDescent="0.3">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row>
    <row r="92" spans="1:35" x14ac:dyDescent="0.3">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35" x14ac:dyDescent="0.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35" x14ac:dyDescent="0.3">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35" x14ac:dyDescent="0.3">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row>
    <row r="96" spans="1:35"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row>
    <row r="97" spans="1:35" x14ac:dyDescent="0.3">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row>
    <row r="100" spans="1:35"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row>
    <row r="101" spans="1:35"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row>
    <row r="104" spans="1:35"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row>
    <row r="105" spans="1:35"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row>
    <row r="106" spans="1:35"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row>
    <row r="107" spans="1:35"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row>
    <row r="108" spans="1:35"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row>
    <row r="109" spans="1:35"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row>
    <row r="110" spans="1:35"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row>
    <row r="111" spans="1:35"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row>
    <row r="112" spans="1:35"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row>
    <row r="113" spans="1:35"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row>
    <row r="114" spans="1:35"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row>
    <row r="115" spans="1:35"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row>
    <row r="116" spans="1:35"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row>
    <row r="117" spans="1:35"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row>
    <row r="118" spans="1:35"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row>
    <row r="119" spans="1:35"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row>
    <row r="120" spans="1:35"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row>
    <row r="121" spans="1:35"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row>
    <row r="122" spans="1:35"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5"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row>
    <row r="124" spans="1:35"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row>
    <row r="125" spans="1:35"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row>
    <row r="126" spans="1:35"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row>
    <row r="127" spans="1:35"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35"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row>
    <row r="129" spans="1:35"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row>
    <row r="130" spans="1:35"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row>
    <row r="131" spans="1:35"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1:35"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row>
    <row r="133" spans="1:35"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row>
    <row r="134" spans="1:35"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row>
    <row r="135" spans="1:35"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row>
    <row r="136" spans="1:35"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row>
    <row r="137" spans="1:35"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row>
    <row r="138" spans="1:35"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row>
    <row r="139" spans="1:35"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row>
    <row r="140" spans="1:35"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row>
    <row r="142" spans="1:35"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row>
    <row r="143" spans="1:35"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row>
    <row r="144" spans="1:35"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row>
    <row r="145" spans="1:35"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row>
    <row r="146" spans="1:35"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row>
    <row r="147" spans="1:35"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row>
    <row r="148" spans="1:35"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row>
    <row r="149" spans="1:35"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row>
    <row r="150" spans="1:35"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row>
    <row r="151" spans="1:35"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row>
    <row r="152" spans="1:35"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row>
    <row r="153" spans="1:35"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row>
    <row r="154" spans="1:35"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row>
    <row r="155" spans="1:35"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row>
  </sheetData>
  <sheetProtection algorithmName="SHA-512" hashValue="YQWojGnXdQVM5f2XfJULDGENTKZ1hJTZz3gX2UUTX63bk+6iOiGCpsNMKDYD+p8S4SneHv/iUVQ2c4lTdtzEfg==" saltValue="Gry2uuyypwjddrkUjK+BBQ==" spinCount="100000" sheet="1" objects="1" scenarios="1"/>
  <hyperlinks>
    <hyperlink ref="A39" r:id="rId1" xr:uid="{9E00ABBF-AD94-4687-9BC8-784D50387BE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DB8F-B1B2-4EE9-9670-17C8D1284B15}">
  <dimension ref="A1:B12"/>
  <sheetViews>
    <sheetView workbookViewId="0"/>
  </sheetViews>
  <sheetFormatPr defaultRowHeight="14.4" x14ac:dyDescent="0.3"/>
  <cols>
    <col min="1" max="1" width="60" customWidth="1"/>
    <col min="2" max="2" width="56.88671875" customWidth="1"/>
  </cols>
  <sheetData>
    <row r="1" spans="1:2" x14ac:dyDescent="0.3">
      <c r="A1" s="8" t="s">
        <v>118</v>
      </c>
    </row>
    <row r="2" spans="1:2" ht="49.95" customHeight="1" x14ac:dyDescent="0.3">
      <c r="A2" t="s">
        <v>113</v>
      </c>
      <c r="B2" s="65" t="s">
        <v>112</v>
      </c>
    </row>
    <row r="3" spans="1:2" ht="66" x14ac:dyDescent="0.3">
      <c r="A3" t="s">
        <v>114</v>
      </c>
      <c r="B3" s="65" t="s">
        <v>126</v>
      </c>
    </row>
    <row r="4" spans="1:2" ht="132" x14ac:dyDescent="0.3">
      <c r="A4" t="s">
        <v>116</v>
      </c>
      <c r="B4" s="65" t="s">
        <v>115</v>
      </c>
    </row>
    <row r="5" spans="1:2" ht="158.4" x14ac:dyDescent="0.3">
      <c r="A5" t="s">
        <v>117</v>
      </c>
      <c r="B5" s="65" t="s">
        <v>119</v>
      </c>
    </row>
    <row r="6" spans="1:2" ht="105.6" x14ac:dyDescent="0.3">
      <c r="A6" t="s">
        <v>120</v>
      </c>
      <c r="B6" s="65" t="s">
        <v>127</v>
      </c>
    </row>
    <row r="7" spans="1:2" ht="264" x14ac:dyDescent="0.3">
      <c r="A7" t="s">
        <v>122</v>
      </c>
      <c r="B7" s="65" t="s">
        <v>121</v>
      </c>
    </row>
    <row r="8" spans="1:2" ht="132" x14ac:dyDescent="0.3">
      <c r="A8" t="s">
        <v>129</v>
      </c>
      <c r="B8" s="65" t="s">
        <v>128</v>
      </c>
    </row>
    <row r="9" spans="1:2" ht="145.19999999999999" x14ac:dyDescent="0.3">
      <c r="A9" t="s">
        <v>131</v>
      </c>
      <c r="B9" s="65" t="s">
        <v>130</v>
      </c>
    </row>
    <row r="10" spans="1:2" ht="49.95" customHeight="1" x14ac:dyDescent="0.3"/>
    <row r="11" spans="1:2" ht="49.95" customHeight="1" x14ac:dyDescent="0.3"/>
    <row r="12" spans="1:2" ht="49.95" customHeight="1" x14ac:dyDescent="0.3"/>
  </sheetData>
  <sheetProtection algorithmName="SHA-512" hashValue="FRYpFhaJma0UF/kmEpJAkc8FOkbT0GxWHiLd2pwoWIsBm/8kARmThMgkE1Snc3pXOdlT+0rRWNebkaZcacSeiQ==" saltValue="+lLikRM2S31c2c9dety4BQ==" spinCount="100000" sheet="1" objects="1" scenarios="1"/>
  <hyperlinks>
    <hyperlink ref="A1" r:id="rId1" xr:uid="{5A9D2F94-B5C5-41D2-ADDB-B9AD403937A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F61E-7F39-425A-915B-FA0A95C043A5}">
  <sheetPr codeName="Blad7"/>
  <dimension ref="A1:G22"/>
  <sheetViews>
    <sheetView workbookViewId="0">
      <selection activeCell="A6" sqref="A6"/>
    </sheetView>
  </sheetViews>
  <sheetFormatPr defaultRowHeight="14.4" x14ac:dyDescent="0.3"/>
  <cols>
    <col min="1" max="1" width="51.5546875" bestFit="1" customWidth="1"/>
    <col min="2" max="3" width="12.88671875" bestFit="1" customWidth="1"/>
    <col min="4" max="4" width="18.21875" bestFit="1" customWidth="1"/>
  </cols>
  <sheetData>
    <row r="1" spans="1:7" x14ac:dyDescent="0.3">
      <c r="G1" s="25"/>
    </row>
    <row r="2" spans="1:7" x14ac:dyDescent="0.3">
      <c r="A2" t="s">
        <v>141</v>
      </c>
      <c r="B2" t="str">
        <f>IF('Mijn Inzet'!$C$9=$A$16,$C$4,$C$2)</f>
        <v>Beiden</v>
      </c>
      <c r="C2" t="s">
        <v>60</v>
      </c>
      <c r="D2" t="s">
        <v>60</v>
      </c>
      <c r="G2" s="26"/>
    </row>
    <row r="3" spans="1:7" x14ac:dyDescent="0.3">
      <c r="A3" t="s">
        <v>61</v>
      </c>
      <c r="B3" t="str">
        <f>IF('Mijn Inzet'!$C$9=$A$16,$C$4,$C$3)</f>
        <v>Beiden</v>
      </c>
      <c r="C3" t="s">
        <v>0</v>
      </c>
      <c r="D3" t="s">
        <v>0</v>
      </c>
      <c r="G3" s="25"/>
    </row>
    <row r="4" spans="1:7" x14ac:dyDescent="0.3">
      <c r="A4" t="s">
        <v>62</v>
      </c>
      <c r="C4" t="s">
        <v>77</v>
      </c>
      <c r="D4" t="s">
        <v>140</v>
      </c>
    </row>
    <row r="5" spans="1:7" x14ac:dyDescent="0.3">
      <c r="A5" t="s">
        <v>11</v>
      </c>
      <c r="D5" t="s">
        <v>97</v>
      </c>
    </row>
    <row r="6" spans="1:7" x14ac:dyDescent="0.3">
      <c r="A6" t="s">
        <v>63</v>
      </c>
    </row>
    <row r="7" spans="1:7" x14ac:dyDescent="0.3">
      <c r="A7" t="s">
        <v>64</v>
      </c>
    </row>
    <row r="8" spans="1:7" x14ac:dyDescent="0.3">
      <c r="A8" t="s">
        <v>134</v>
      </c>
    </row>
    <row r="9" spans="1:7" x14ac:dyDescent="0.3">
      <c r="A9" t="s">
        <v>133</v>
      </c>
    </row>
    <row r="10" spans="1:7" x14ac:dyDescent="0.3">
      <c r="A10" t="s">
        <v>97</v>
      </c>
    </row>
    <row r="11" spans="1:7" x14ac:dyDescent="0.3">
      <c r="A11" t="s">
        <v>11</v>
      </c>
    </row>
    <row r="12" spans="1:7" x14ac:dyDescent="0.3">
      <c r="A12" t="s">
        <v>65</v>
      </c>
    </row>
    <row r="13" spans="1:7" x14ac:dyDescent="0.3">
      <c r="A13" t="s">
        <v>66</v>
      </c>
    </row>
    <row r="14" spans="1:7" x14ac:dyDescent="0.3">
      <c r="A14" t="s">
        <v>67</v>
      </c>
    </row>
    <row r="15" spans="1:7" x14ac:dyDescent="0.3">
      <c r="A15" t="s">
        <v>143</v>
      </c>
    </row>
    <row r="16" spans="1:7" x14ac:dyDescent="0.3">
      <c r="A16" t="s">
        <v>68</v>
      </c>
    </row>
    <row r="17" spans="1:2" x14ac:dyDescent="0.3">
      <c r="A17" t="s">
        <v>71</v>
      </c>
    </row>
    <row r="18" spans="1:2" x14ac:dyDescent="0.3">
      <c r="A18" t="s">
        <v>72</v>
      </c>
    </row>
    <row r="19" spans="1:2" x14ac:dyDescent="0.3">
      <c r="A19">
        <v>1659</v>
      </c>
    </row>
    <row r="20" spans="1:2" x14ac:dyDescent="0.3">
      <c r="A20" t="s">
        <v>1</v>
      </c>
      <c r="B20">
        <v>50</v>
      </c>
    </row>
    <row r="21" spans="1:2" x14ac:dyDescent="0.3">
      <c r="A21" t="s">
        <v>81</v>
      </c>
      <c r="B21">
        <v>40</v>
      </c>
    </row>
    <row r="22" spans="1:2" x14ac:dyDescent="0.3">
      <c r="A22" t="s">
        <v>3</v>
      </c>
      <c r="B22">
        <v>107</v>
      </c>
    </row>
  </sheetData>
  <sheetProtection algorithmName="SHA-512" hashValue="gOYdKSt17lmKf3QQXFzBLEdnzx3OHB6FB/YbQffs4tRXlHPKLR6URpAsyiZvIJp+wF7ehI1FNu4Vo/epzd4eNg==" saltValue="Nqf2a4WOhKwbdYqEoXei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3 W q I W 9 H U 5 x q j A A A A 9 g A A A B I A H A B D b 2 5 m a W c v U G F j a 2 F n Z S 5 4 b W w g o h g A K K A U A A A A A A A A A A A A A A A A A A A A A A A A A A A A h Y + x D o I w F E V / h X S n L d W B k E c Z X M G Y m B j X p l R s h I e B Y v k 3 B z / J X x C j q J v j P f c M 9 9 6 v N 8 j G p g 4 u p u t t i y m J K C e B Q d 2 W F q u U D O 4 Q x i S T s F H 6 p C o T T D L 2 y d i X K T k 6 d 0 4 Y 8 9 5 T v 6 B t V z H B e c T 2 R b 7 V R 9 M o 8 p H t f z m 0 2 D u F 2 h A J u 9 c Y K W i 0 j K n g 0 y Z g M 4 T C 4 l c Q U / d s f y C s h t o N n Z F Y h + s c 2 B y B v T / I B 1 B L A w Q U A A I A C A D d a o 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W q I W y i K R 7 g O A A A A E Q A A A B M A H A B G b 3 J t d W x h c y 9 T Z W N 0 a W 9 u M S 5 t I K I Y A C i g F A A A A A A A A A A A A A A A A A A A A A A A A A A A A C t O T S 7 J z M 9 T C I b Q h t Y A U E s B A i 0 A F A A C A A g A 3 W q I W 9 H U 5 x q j A A A A 9 g A A A B I A A A A A A A A A A A A A A A A A A A A A A E N v b m Z p Z y 9 Q Y W N r Y W d l L n h t b F B L A Q I t A B Q A A g A I A N 1 q i F s P y u m r p A A A A O k A A A A T A A A A A A A A A A A A A A A A A O 8 A A A B b Q 2 9 u d G V u d F 9 U e X B l c 1 0 u e G 1 s U E s B A i 0 A F A A C A A g A 3 W q I 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A V 3 n k k Z L l M u 9 9 P a q h F H m 8 A A A A A A g A A A A A A E G Y A A A A B A A A g A A A A 6 b b e 1 r t a g h L X j j T o h i c d B V v T S r i d j 3 X / I Q 7 b b h Z z 1 p g A A A A A D o A A A A A C A A A g A A A A D X B / M 0 y i 3 / h C 7 Q x o l 7 K v 4 a 2 X o W J H M Q N 0 y S r q g M o K I K p Q A A A A w z o 1 W C b K n j v 3 U W S D N n J E E F i H L / 8 n v F O x z g 2 d W c q S k + H 1 N g 2 Y 2 P a S v o D Q m b x B + z R D + t U E U 7 j u f U C V Y n E k S n H q s H Q A + Y q / W / z u z I 9 L I W 6 N 8 E 9 A A A A A w b 7 Q w 7 1 U z I p 4 i s + q M r h w x Y t 6 Z 3 b x r h Y n F M 8 y p l w E g Q G B w H 8 I m a q Z d + / j H D x N u b V W Q s I d l C 9 Y q F U R 4 T K 2 x z V G 1 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58E09137C68A74EA55321485504F917" ma:contentTypeVersion="5" ma:contentTypeDescription="Een nieuw document maken." ma:contentTypeScope="" ma:versionID="db0245438277c449b390edb1127e86d5">
  <xsd:schema xmlns:xsd="http://www.w3.org/2001/XMLSchema" xmlns:xs="http://www.w3.org/2001/XMLSchema" xmlns:p="http://schemas.microsoft.com/office/2006/metadata/properties" xmlns:ns2="c6f82ce1-f6df-49a5-8b49-cf8409a27aa4" targetNamespace="http://schemas.microsoft.com/office/2006/metadata/properties" ma:root="true" ma:fieldsID="33b1a65cc86e33f87ab907039fc0f11e" ns2:_="">
    <xsd:import namespace="c6f82ce1-f6df-49a5-8b49-cf8409a27a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82ce1-f6df-49a5-8b49-cf8409a2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0B2B0-D644-4992-978E-8B90D88353C7}">
  <ds:schemaRefs>
    <ds:schemaRef ds:uri="http://schemas.microsoft.com/DataMashup"/>
  </ds:schemaRefs>
</ds:datastoreItem>
</file>

<file path=customXml/itemProps2.xml><?xml version="1.0" encoding="utf-8"?>
<ds:datastoreItem xmlns:ds="http://schemas.openxmlformats.org/officeDocument/2006/customXml" ds:itemID="{80D5FD55-C7F1-433B-86D6-8DBEF4583259}">
  <ds:schemaRef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c6f82ce1-f6df-49a5-8b49-cf8409a27aa4"/>
    <ds:schemaRef ds:uri="http://purl.org/dc/dcmitype/"/>
    <ds:schemaRef ds:uri="http://purl.org/dc/elements/1.1/"/>
  </ds:schemaRefs>
</ds:datastoreItem>
</file>

<file path=customXml/itemProps3.xml><?xml version="1.0" encoding="utf-8"?>
<ds:datastoreItem xmlns:ds="http://schemas.openxmlformats.org/officeDocument/2006/customXml" ds:itemID="{E0A7B9BE-CF26-4415-AC3B-D584ACAE3652}">
  <ds:schemaRefs>
    <ds:schemaRef ds:uri="http://schemas.microsoft.com/sharepoint/v3/contenttype/forms"/>
  </ds:schemaRefs>
</ds:datastoreItem>
</file>

<file path=customXml/itemProps4.xml><?xml version="1.0" encoding="utf-8"?>
<ds:datastoreItem xmlns:ds="http://schemas.openxmlformats.org/officeDocument/2006/customXml" ds:itemID="{2420DC2F-06D6-44A2-853A-79EF73F08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82ce1-f6df-49a5-8b49-cf8409a27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Mijn Inzet</vt:lpstr>
      <vt:lpstr>LessenPerPeriode</vt:lpstr>
      <vt:lpstr>Achtergrondinformatie</vt:lpstr>
      <vt:lpstr>Disclaimer</vt:lpstr>
      <vt:lpstr>CAO artikelen</vt:lpstr>
      <vt:lpstr>Gegevens</vt:lpstr>
      <vt:lpstr>'Mijn Inzet'!Afdrukbereik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InzetMeter</dc:title>
  <dc:creator>Rob Römer</dc:creator>
  <cp:keywords>CAO, PvI</cp:keywords>
  <cp:lastModifiedBy>Frenk Goverde</cp:lastModifiedBy>
  <cp:lastPrinted>2026-03-19T13:06:43Z</cp:lastPrinted>
  <dcterms:created xsi:type="dcterms:W3CDTF">2020-06-16T13:04:12Z</dcterms:created>
  <dcterms:modified xsi:type="dcterms:W3CDTF">2026-04-24T06:58:49Z</dcterms:modified>
  <cp:category>Werkverdeling maken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0x010100858E09137C68A74EA55321485504F917</vt:lpwstr>
  </property>
</Properties>
</file>